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3795" tabRatio="910" activeTab="0"/>
  </bookViews>
  <sheets>
    <sheet name="Note P1-6" sheetId="1" r:id="rId1"/>
    <sheet name="P7" sheetId="2" r:id="rId2"/>
    <sheet name="P8" sheetId="3" r:id="rId3"/>
    <sheet name="P9" sheetId="4" r:id="rId4"/>
    <sheet name="P10-14" sheetId="5" r:id="rId5"/>
    <sheet name="P15-17" sheetId="6" r:id="rId6"/>
    <sheet name="P18" sheetId="7" r:id="rId7"/>
    <sheet name="P19" sheetId="8" r:id="rId8"/>
    <sheet name="P20-22" sheetId="9" r:id="rId9"/>
    <sheet name="P23-25" sheetId="10" r:id="rId10"/>
    <sheet name="P26-27" sheetId="11" r:id="rId11"/>
    <sheet name="P28-29" sheetId="12" r:id="rId12"/>
    <sheet name="P30-38" sheetId="13" r:id="rId13"/>
    <sheet name="P39-40" sheetId="14" r:id="rId14"/>
    <sheet name="P41" sheetId="15" r:id="rId15"/>
    <sheet name="P42" sheetId="16" r:id="rId16"/>
  </sheets>
  <externalReferences>
    <externalReference r:id="rId19"/>
  </externalReferences>
  <definedNames>
    <definedName name="_xlnm.Print_Area" localSheetId="6">'P18'!$A$1:$I$43</definedName>
    <definedName name="_xlnm.Print_Area" localSheetId="7">'P19'!$A$1:$Q$32</definedName>
    <definedName name="_xlnm.Print_Area" localSheetId="11">'P28-29'!$A$1:$K$71</definedName>
    <definedName name="_xlnm.Print_Area" localSheetId="13">'P39-40'!$A$1:$K$67</definedName>
    <definedName name="_xlnm.Print_Area" localSheetId="14">'P41'!$A$1:$N$31</definedName>
    <definedName name="_xlnm.Print_Area" localSheetId="15">'P42'!$A$1:$G$32</definedName>
    <definedName name="_xlnm.Print_Area" localSheetId="1">'P7'!$A$1:$X$35</definedName>
  </definedNames>
  <calcPr fullCalcOnLoad="1"/>
</workbook>
</file>

<file path=xl/sharedStrings.xml><?xml version="1.0" encoding="utf-8"?>
<sst xmlns="http://schemas.openxmlformats.org/spreadsheetml/2006/main" count="2501" uniqueCount="1275">
  <si>
    <t xml:space="preserve">           can be traded in the SET, is calculated from the bid price as at  the balance sheet date of  the Stock Exchange </t>
  </si>
  <si>
    <t>- 14 -</t>
  </si>
  <si>
    <t>- 15 -</t>
  </si>
  <si>
    <t>SHALDAN (THAILAND) CO.,ITD.</t>
  </si>
  <si>
    <t>64</t>
  </si>
  <si>
    <t>65</t>
  </si>
  <si>
    <t>66</t>
  </si>
  <si>
    <t xml:space="preserve">K.COMMERCIAL &amp; CONSTRUCTION </t>
  </si>
  <si>
    <t>67</t>
  </si>
  <si>
    <t>THAI TAKAYA CO., LTD.</t>
  </si>
  <si>
    <t>68</t>
  </si>
  <si>
    <t>69</t>
  </si>
  <si>
    <t>WIEN CO., LTD.</t>
  </si>
  <si>
    <t>70</t>
  </si>
  <si>
    <t>71</t>
  </si>
  <si>
    <t>72</t>
  </si>
  <si>
    <t>73</t>
  </si>
  <si>
    <t>74</t>
  </si>
  <si>
    <t>THAI NAXIS CO.,LTD.</t>
  </si>
  <si>
    <t>75</t>
  </si>
  <si>
    <t>TOYO TEXTILE THAI   CO., LTD.</t>
  </si>
  <si>
    <t xml:space="preserve">  ENTERPRISE PLC.</t>
  </si>
  <si>
    <t>SAHACOGEN GREEN CO.,LTD.</t>
  </si>
  <si>
    <t xml:space="preserve">KENMIN FOOD  (THAILAND) </t>
  </si>
  <si>
    <t>CO., LTD.</t>
  </si>
  <si>
    <t xml:space="preserve">TEXTILE PRESTIGE PUBLIC </t>
  </si>
  <si>
    <t>COMPANY LIMITED</t>
  </si>
  <si>
    <t xml:space="preserve">MOLTEN ASIA POLYMER   </t>
  </si>
  <si>
    <t>PRODUCTS CO., LTD.</t>
  </si>
  <si>
    <t>MOLTEN (THAILAND) CO., LTD.</t>
  </si>
  <si>
    <t xml:space="preserve"> Director's near relative</t>
  </si>
  <si>
    <t>- 34 -</t>
  </si>
  <si>
    <t xml:space="preserve">PRESIDENT RICE PRODUCT </t>
  </si>
  <si>
    <t xml:space="preserve">PUBLIC COMPANY LIMITED </t>
  </si>
  <si>
    <t>PRESIDENT  BAKERY PUBLIC</t>
  </si>
  <si>
    <t xml:space="preserve"> COMPANY LIMITED </t>
  </si>
  <si>
    <t xml:space="preserve">NEW PLUS KNITTING PUBLIC </t>
  </si>
  <si>
    <t>FAR EAST DDB PUBLIC</t>
  </si>
  <si>
    <t xml:space="preserve">PEOPLES GARMENT PUBLIC </t>
  </si>
  <si>
    <t xml:space="preserve">NEW CITY (BANGKOK) PUBLIC </t>
  </si>
  <si>
    <t xml:space="preserve">COMPANY  LIMITED </t>
  </si>
  <si>
    <t xml:space="preserve">SAHA UBOL NAKORN </t>
  </si>
  <si>
    <t>PAN LAND CO., LTD.</t>
  </si>
  <si>
    <t xml:space="preserve">EASTERN RUBBER </t>
  </si>
  <si>
    <t>TOYO TEXTILE THAI CO., LTD.</t>
  </si>
  <si>
    <t>K.T.Y INDUSTRY CO., LTD.</t>
  </si>
  <si>
    <t xml:space="preserve">SAHA RATTANA NAKORN </t>
  </si>
  <si>
    <t>THAI GUNZE CO., LTD.</t>
  </si>
  <si>
    <t>UNILEASE CO., LTD.</t>
  </si>
  <si>
    <t>DAIRY THAI CO., LTD.</t>
  </si>
  <si>
    <t>THAI NAXIS CO., LTD.</t>
  </si>
  <si>
    <t>UNITED UTILITY CO., LTD.</t>
  </si>
  <si>
    <t xml:space="preserve">SAMPAN TRAMITR CO., LTD. </t>
  </si>
  <si>
    <t xml:space="preserve">U.C.C. UESHIMA COFFEE </t>
  </si>
  <si>
    <t xml:space="preserve">COCKSEC CHEMICAL </t>
  </si>
  <si>
    <t xml:space="preserve">       INDUSTRY CO., LTD.</t>
  </si>
  <si>
    <t>BELLE MAISON (THAILAND)</t>
  </si>
  <si>
    <t>THAI FLYING MAINTENANCE</t>
  </si>
  <si>
    <t xml:space="preserve">KENMIN FOOD </t>
  </si>
  <si>
    <t xml:space="preserve">M B T S BROKING </t>
  </si>
  <si>
    <t xml:space="preserve">       SERVICE CO., LTD. </t>
  </si>
  <si>
    <t xml:space="preserve">RATCHASRIMA SHOPPING </t>
  </si>
  <si>
    <t xml:space="preserve">          COMPLEX CO., LTD.</t>
  </si>
  <si>
    <t xml:space="preserve">THE MALL RATCHASIMA CO., LTD. </t>
  </si>
  <si>
    <t xml:space="preserve">      respectively.</t>
  </si>
  <si>
    <t xml:space="preserve">              In 2006,  land  and  cost  of  land  development  is appraised by  American  Appraisal  (Thailand)  Limited,  an  independent </t>
  </si>
  <si>
    <t xml:space="preserve">             The Company has establised a provident fund in according to the Provident Fund Act B.E. 2530. On May 30, 1990,</t>
  </si>
  <si>
    <t xml:space="preserve">     the Company has transferred the former provident fund  according to the Departmental Instructions no. 162  (B.E. 2526) </t>
  </si>
  <si>
    <t xml:space="preserve">     course of business.</t>
  </si>
  <si>
    <t xml:space="preserve">equity method is applied </t>
  </si>
  <si>
    <t xml:space="preserve">                           760,000.00 and the remaining 3 users guaranteed by commercial bank and cash of Bath 5,678,000.00</t>
  </si>
  <si>
    <t>Bekery</t>
  </si>
  <si>
    <t xml:space="preserve"> - 42 -</t>
  </si>
  <si>
    <t xml:space="preserve">                              F  Shareholders or directors are intimate of the Company's directors</t>
  </si>
  <si>
    <t>A, C, F</t>
  </si>
  <si>
    <t xml:space="preserve">     through shareholding or common shareholders  or  co-director.   The  related  transaction  is  determined  on  the  normal </t>
  </si>
  <si>
    <t xml:space="preserve">     Accumulated depreciation</t>
  </si>
  <si>
    <t xml:space="preserve">     Provision for impairment</t>
  </si>
  <si>
    <t>15.   DEPOSIT FOR LAND</t>
  </si>
  <si>
    <t xml:space="preserve">         Less  Current portion of long - term debts</t>
  </si>
  <si>
    <t xml:space="preserve">         Long - term loans from related person - net</t>
  </si>
  <si>
    <t xml:space="preserve">(Unit : Baht) </t>
  </si>
  <si>
    <t xml:space="preserve">        million at the interest  rate of  MOR, MOR - 3%  to MOR - 0.5% per annum.</t>
  </si>
  <si>
    <t>THAI SECOM PITAKKIJ</t>
  </si>
  <si>
    <t xml:space="preserve">FANCL (THAILAND) </t>
  </si>
  <si>
    <t xml:space="preserve">                            in order  to distribute to  the  user  in  Industrial  Park  Project-Sriracha.  The  Company  has  to  pay  electricity </t>
  </si>
  <si>
    <t xml:space="preserve">                 as presented in the financial statements in which the equity method is  applied  and  separate  financial  statements as </t>
  </si>
  <si>
    <t xml:space="preserve">                 follows:</t>
  </si>
  <si>
    <t>- 23 -</t>
  </si>
  <si>
    <t>- 24 -</t>
  </si>
  <si>
    <t xml:space="preserve">               Branch 4     Located  at  196 Moo 11, Tambon Wangdan, Amphur Kabinburi, Prachinburi Province. </t>
  </si>
  <si>
    <t xml:space="preserve">     4.9  Investment in equity securities </t>
  </si>
  <si>
    <t xml:space="preserve">                                  Building and construction</t>
  </si>
  <si>
    <t xml:space="preserve">                                  Facility system</t>
  </si>
  <si>
    <t xml:space="preserve">                                  Road and sidewalk</t>
  </si>
  <si>
    <t xml:space="preserve">                                  Other assets</t>
  </si>
  <si>
    <t>20 years</t>
  </si>
  <si>
    <t>15 years</t>
  </si>
  <si>
    <t xml:space="preserve">              Related persons and parties are persons and enterprise  that  related  with  group  of  companies  and  the  Company </t>
  </si>
  <si>
    <t xml:space="preserve">     management to make several estimations and assumption which affect to the reported amounts in the financial statements </t>
  </si>
  <si>
    <t xml:space="preserve">     and notes related threrto. Consequent actual results may differ from these estimates.</t>
  </si>
  <si>
    <t>9.  INVESTMENT IN ASSOCIATED COMPANIES</t>
  </si>
  <si>
    <t xml:space="preserve">     Total investment in associated companies </t>
  </si>
  <si>
    <t>9.  INVESTMENT IN ASSOCIATED COMPANIES (CONTINUED)</t>
  </si>
  <si>
    <t xml:space="preserve">     9.1  Investments  in  public  company  limited  </t>
  </si>
  <si>
    <t>- 25 -</t>
  </si>
  <si>
    <t>INTERNATIONAL LABORATORIES CORP., LTD.</t>
  </si>
  <si>
    <t>THAI KAMAYA CO., LTD.</t>
  </si>
  <si>
    <t>Center</t>
  </si>
  <si>
    <t>SHISEIDO PROFESSIONAL</t>
  </si>
  <si>
    <t>Director' s near relative</t>
  </si>
  <si>
    <t>SIAM DCM CO., LTD.</t>
  </si>
  <si>
    <t>Company names</t>
  </si>
  <si>
    <t>Company  names</t>
  </si>
  <si>
    <t>- 21 -</t>
  </si>
  <si>
    <t xml:space="preserve">      Less  Provision for impairment loss</t>
  </si>
  <si>
    <t xml:space="preserve">                The Company  has long - term loans  with  banks  and  financial  institutions as follows :</t>
  </si>
  <si>
    <t xml:space="preserve">               Total investment - other companies</t>
  </si>
  <si>
    <t>A, B, C, D, E</t>
  </si>
  <si>
    <t xml:space="preserve">                    B  Directorship</t>
  </si>
  <si>
    <t>THAI TOMADO CO., LTD.</t>
  </si>
  <si>
    <t xml:space="preserve">S&amp;J INTERNATIONAL </t>
  </si>
  <si>
    <t xml:space="preserve">       ENTERPRISE PLC.</t>
  </si>
  <si>
    <t xml:space="preserve">     Total investment in securities available for sales - related parties</t>
  </si>
  <si>
    <t xml:space="preserve">     Total general investment - related parties</t>
  </si>
  <si>
    <t xml:space="preserve">                     Total investment - related parties</t>
  </si>
  <si>
    <t>A, B, C, E</t>
  </si>
  <si>
    <t xml:space="preserve">               Cash on hand</t>
  </si>
  <si>
    <t xml:space="preserve">               Current accounts</t>
  </si>
  <si>
    <t>B, E</t>
  </si>
  <si>
    <t>B, E, F</t>
  </si>
  <si>
    <t xml:space="preserve">32.  RIGHT AND INVESTMENT PROMOTION PRIVILEGE </t>
  </si>
  <si>
    <t>33. EMPLOYEES BENEFIT EXPENSES</t>
  </si>
  <si>
    <t xml:space="preserve">      33.1  Providend fund </t>
  </si>
  <si>
    <t xml:space="preserve">               Savings deposit</t>
  </si>
  <si>
    <t xml:space="preserve">SAHACOGEN (CHONBURI) </t>
  </si>
  <si>
    <t xml:space="preserve">     1.1  The financial  statements  have  been  prepared  in accordance  with  the generally  accepted accounting principles </t>
  </si>
  <si>
    <t>- 2 -</t>
  </si>
  <si>
    <t>- 3 -</t>
  </si>
  <si>
    <t>- 4 -</t>
  </si>
  <si>
    <t>- 5 -</t>
  </si>
  <si>
    <t>2008</t>
  </si>
  <si>
    <t>6.  ACCRUED INCOME FROM RELATED PARTIES - NET</t>
  </si>
  <si>
    <t xml:space="preserve">               Less  Allowance for doubtful accounts</t>
  </si>
  <si>
    <t>7.  OTHER ACCRUED INCOME - NET</t>
  </si>
  <si>
    <t xml:space="preserve">               Other accrued income - net</t>
  </si>
  <si>
    <t xml:space="preserve">     Associated company</t>
  </si>
  <si>
    <t xml:space="preserve">respectively. </t>
  </si>
  <si>
    <t>19.  LONG-TERM LOANS - NET</t>
  </si>
  <si>
    <t xml:space="preserve">           of Thailand). The details are as follows :</t>
  </si>
  <si>
    <t xml:space="preserve">          Fair value of investment in associated companies consist of :</t>
  </si>
  <si>
    <t xml:space="preserve">Unit : Baht </t>
  </si>
  <si>
    <t>Associated companies</t>
  </si>
  <si>
    <t xml:space="preserve">      Less  Provision for </t>
  </si>
  <si>
    <t xml:space="preserve">             impairment loss</t>
  </si>
  <si>
    <t>- 9 -</t>
  </si>
  <si>
    <t>- 10 -</t>
  </si>
  <si>
    <t>Women's wear</t>
  </si>
  <si>
    <t>Woven lining</t>
  </si>
  <si>
    <t>Cubic</t>
  </si>
  <si>
    <t>Printing</t>
  </si>
  <si>
    <t xml:space="preserve">Type of </t>
  </si>
  <si>
    <t>business</t>
  </si>
  <si>
    <t>Cosmetic</t>
  </si>
  <si>
    <t>Consumer</t>
  </si>
  <si>
    <t>products</t>
  </si>
  <si>
    <t>Sock</t>
  </si>
  <si>
    <t xml:space="preserve">     (Add) Unrealized gain from adjust fair value</t>
  </si>
  <si>
    <t xml:space="preserve">BANGKOK ATHLETIC </t>
  </si>
  <si>
    <t xml:space="preserve">       CO., LTD.</t>
  </si>
  <si>
    <t xml:space="preserve">SRIRACHA TRANSPORT </t>
  </si>
  <si>
    <t xml:space="preserve">THAI TAKEDA LACE </t>
  </si>
  <si>
    <t xml:space="preserve">TOTAL WAY IMAGE </t>
  </si>
  <si>
    <t xml:space="preserve">GRAND STAR INDUSTRY </t>
  </si>
  <si>
    <t xml:space="preserve">INTERNATIONAL COMMERCIAL </t>
  </si>
  <si>
    <t xml:space="preserve">PATTAYA MANUFACTURING </t>
  </si>
  <si>
    <t>Sport ware</t>
  </si>
  <si>
    <t>Transportation</t>
  </si>
  <si>
    <t>Glass</t>
  </si>
  <si>
    <t>Accessories</t>
  </si>
  <si>
    <t>Direct sale</t>
  </si>
  <si>
    <t>appliances</t>
  </si>
  <si>
    <t xml:space="preserve">       ELECTRONICS CO., LTD.</t>
  </si>
  <si>
    <t xml:space="preserve">THAI SUMSUNG  </t>
  </si>
  <si>
    <t xml:space="preserve">Electrical </t>
  </si>
  <si>
    <t xml:space="preserve">BETTER WAY (THAILAND) </t>
  </si>
  <si>
    <t xml:space="preserve">BANGKOK TOKYO SOCKS </t>
  </si>
  <si>
    <t xml:space="preserve">THAI SPORT GARMENT </t>
  </si>
  <si>
    <t xml:space="preserve">NISSIN FOODS </t>
  </si>
  <si>
    <t xml:space="preserve">       (THAILAND) CO., LTD.</t>
  </si>
  <si>
    <t xml:space="preserve">VALUE ADDED TEXTILE </t>
  </si>
  <si>
    <t xml:space="preserve">THAI CUBIC TECHNOLOGY </t>
  </si>
  <si>
    <t xml:space="preserve">ADVANCE MICRO TECH </t>
  </si>
  <si>
    <t>Spining</t>
  </si>
  <si>
    <t>Socks</t>
  </si>
  <si>
    <t>Cotton towels</t>
  </si>
  <si>
    <t>Dyeing</t>
  </si>
  <si>
    <t>Electronic</t>
  </si>
  <si>
    <t>Medicines</t>
  </si>
  <si>
    <t xml:space="preserve">OSOTH INTER. LABORATORIES </t>
  </si>
  <si>
    <t xml:space="preserve">Plastic </t>
  </si>
  <si>
    <t>injection</t>
  </si>
  <si>
    <t>electronics</t>
  </si>
  <si>
    <t xml:space="preserve">SIAM SAMSUNG ASSURANCE </t>
  </si>
  <si>
    <t>Insurance</t>
  </si>
  <si>
    <t>Medical</t>
  </si>
  <si>
    <t xml:space="preserve">       PLC.</t>
  </si>
  <si>
    <t>current</t>
  </si>
  <si>
    <t xml:space="preserve">     Total</t>
  </si>
  <si>
    <t xml:space="preserve">     (Less)  Provision for impairment loss</t>
  </si>
  <si>
    <t xml:space="preserve">       PUBLIC COMPANY </t>
  </si>
  <si>
    <t xml:space="preserve">THAI TORE TEXTILEMILLED </t>
  </si>
  <si>
    <t xml:space="preserve">SAHA UNION PUBLIC </t>
  </si>
  <si>
    <t xml:space="preserve">UNION PIONEER PUBLIC </t>
  </si>
  <si>
    <t xml:space="preserve">NATION MULTIMEDIA GROUP </t>
  </si>
  <si>
    <t xml:space="preserve">       LIMITED</t>
  </si>
  <si>
    <t xml:space="preserve">     Add  Unrealized gain from adjust fair value</t>
  </si>
  <si>
    <t>AS AT DECEMBER 31, 2009 AND 2008</t>
  </si>
  <si>
    <t xml:space="preserve">     Yannawa, Bangkok 10120 with 5 branches as follows :</t>
  </si>
  <si>
    <t xml:space="preserve">               Branch 3     Located  at 189  Moo 15,  By-Pass  Lamphun-Pasang  Road, Amphur  Mueng, Lamphun Province</t>
  </si>
  <si>
    <t xml:space="preserve">               Branch 5     Located  at  269 Moo 15, Tambon Maekasa, Amphur Maesot, Tak Province. </t>
  </si>
  <si>
    <t xml:space="preserve">            In accordance  with  the  notification  No.  86/2551  and  No. 16/2552 issued by  the  Federation  of Accounting   </t>
  </si>
  <si>
    <t xml:space="preserve">     Professions, pertaining  to the revised Accounting Standards as follows :</t>
  </si>
  <si>
    <t xml:space="preserve">     3.1  Accounting  standards,  financial  reporting  standard  and  accounting  treatment  guidance  which  are  effective for </t>
  </si>
  <si>
    <t xml:space="preserve">            the current year</t>
  </si>
  <si>
    <t xml:space="preserve">                    Framework for Preparation and Presentation of Financial Statements (revised 2007)</t>
  </si>
  <si>
    <t xml:space="preserve">                    Accounting Treatment Guidance for Business Combination under Common Control</t>
  </si>
  <si>
    <t xml:space="preserve">            These accounting standards,  financial reporting  standard and accounting  treatment guidance became effective for the</t>
  </si>
  <si>
    <t xml:space="preserve">     for leasehold right will not have any material impact on the financial statements for the current period.</t>
  </si>
  <si>
    <t xml:space="preserve">     3.2 Accounting standards which are not effective for the current year</t>
  </si>
  <si>
    <t>Effective date</t>
  </si>
  <si>
    <t xml:space="preserve">                                 Government Assistance</t>
  </si>
  <si>
    <t>January 1, 2012</t>
  </si>
  <si>
    <t>January 1, 2011</t>
  </si>
  <si>
    <t xml:space="preserve"> Financial statements</t>
  </si>
  <si>
    <t xml:space="preserve">            Gain or loss on exchange rates are taken into income or expense as incurred.</t>
  </si>
  <si>
    <t>2009</t>
  </si>
  <si>
    <t xml:space="preserve">               Accrued income from related parties which reclassified by aging as at December 31, 2009 and 2008 as follows :</t>
  </si>
  <si>
    <t xml:space="preserve">               Other accrued income which reclassified by aging as at December 31, 2009 and 2008 as follows :</t>
  </si>
  <si>
    <t xml:space="preserve">               As at December 31, 2009 and 2008 short - term loans to related parties are as follows :</t>
  </si>
  <si>
    <t xml:space="preserve">               As at December 31, 2009 and 2008, loans to Pitakkij Co., Ltd.  are promissory  notes due at call at the  interest rate</t>
  </si>
  <si>
    <t xml:space="preserve">As at  December 31, 2009 and 2008,  the Company  recorded  investments in  21 and 23 associated  companies </t>
  </si>
  <si>
    <t xml:space="preserve">     as  follows:</t>
  </si>
  <si>
    <t xml:space="preserve">As at  December  31, 2009  and  2008,  the  Company  recorded  investments  and  share of  profit  in  5 and 4   </t>
  </si>
  <si>
    <t xml:space="preserve">            public company  limited   from   the  financial  statements  audited  by  the other  auditors which  had  investment value   </t>
  </si>
  <si>
    <t>A, E, F</t>
  </si>
  <si>
    <t>A, B, E, F</t>
  </si>
  <si>
    <t>A,  E, F</t>
  </si>
  <si>
    <t xml:space="preserve">9.3.1  As at December 31, 2008, The Company has investment in an associated company of which ceased its operation </t>
  </si>
  <si>
    <t xml:space="preserve">        since 2006  and is in the process of liquidation.  The Company then recognized share of profit until the dissolution </t>
  </si>
  <si>
    <t xml:space="preserve">          date, such investment had the value  at cost of Baht  10 million and under  the equity  method equal  to Baht  6.44  </t>
  </si>
  <si>
    <t xml:space="preserve">          million  which was provided the provision for impairment in total. </t>
  </si>
  <si>
    <t>A, F</t>
  </si>
  <si>
    <t>(formerly named ASPO COMP</t>
  </si>
  <si>
    <t>A, B, E,F</t>
  </si>
  <si>
    <t>A, C, E, F</t>
  </si>
  <si>
    <t xml:space="preserve">          As at December 31, 2009 and 2008, the Company has investments in 76,000 shares of a related parties with H&amp;B Intertex Co., Ltd. at Baht 100.00 par value, amounting to Baht 7.60 </t>
  </si>
  <si>
    <t>million. At present, the percentage of investment in such company is 19 percent and will be recorded under equity method which recognized loss on operation of such company until the</t>
  </si>
  <si>
    <t xml:space="preserve"> investments value to be zero. </t>
  </si>
  <si>
    <t>March 18, 2010.</t>
  </si>
  <si>
    <t>Shareholders or directors are intimate of the Company's directors</t>
  </si>
  <si>
    <t>PUBLIC COMPANY LIMITED</t>
  </si>
  <si>
    <t>KABIN  PHATTHANAKIJ</t>
  </si>
  <si>
    <t>INTERNATIONAL CURITY</t>
  </si>
  <si>
    <t xml:space="preserve"> P.C.B. CENTER CO., LTD. </t>
  </si>
  <si>
    <t xml:space="preserve">SAHACOGEN GREEN </t>
  </si>
  <si>
    <t xml:space="preserve">SHISEDO PROFESSIONAL </t>
  </si>
  <si>
    <t xml:space="preserve">       Baht 109,375,238.75 with 36 and 27 related persons and companies,  respectively.  The transaction which have value  over  than  </t>
  </si>
  <si>
    <t xml:space="preserve">              Related persons and parties are presented in notes to financial statements no. 9, 10, 20 and 31.</t>
  </si>
  <si>
    <t xml:space="preserve">      at cost less accumulated depreciation and reserve for loss from impairment of the asset (if any).</t>
  </si>
  <si>
    <t xml:space="preserve">      Depreciation are calculated by  the straight-line  method over  the  estimated  useful lives of  the assets as follows:</t>
  </si>
  <si>
    <t xml:space="preserve">              equity   method  is  applied  and    the   separate   financial   statements,   since  there  are inadequate  information. </t>
  </si>
  <si>
    <t xml:space="preserve">       for 2  agreements and in Lumphun project for 1 greement, at the value of to buy and to sell contract amouht of  Baht 8.80 million. </t>
  </si>
  <si>
    <t xml:space="preserve">              As at December 31, 2009 , the Company  has commitment under contract to buy  and to  sell  of assets  in Sriracha project </t>
  </si>
  <si>
    <t xml:space="preserve">       of Baht 103.78 million.</t>
  </si>
  <si>
    <t xml:space="preserve">      12.1  Land in Saha group industrial parks are as follows :</t>
  </si>
  <si>
    <t xml:space="preserve">     Total investment in securities available for sales - other companies</t>
  </si>
  <si>
    <t xml:space="preserve">C.V.V HOTEL BUSINESS </t>
  </si>
  <si>
    <t xml:space="preserve">INTERNATIONAL LEATHER </t>
  </si>
  <si>
    <t xml:space="preserve">       FASHION CO., LTD.</t>
  </si>
  <si>
    <t xml:space="preserve">THAI SANWA FOODS </t>
  </si>
  <si>
    <t xml:space="preserve">       INDUSTRIAL CO., LTD.</t>
  </si>
  <si>
    <t>development</t>
  </si>
  <si>
    <t>Leather</t>
  </si>
  <si>
    <t>Sauce</t>
  </si>
  <si>
    <t xml:space="preserve">MOLTEN ASIA POLYMER </t>
  </si>
  <si>
    <t xml:space="preserve">       PRODUCTS CO., LTD.</t>
  </si>
  <si>
    <t xml:space="preserve">INTERNATION KNITING MILLS </t>
  </si>
  <si>
    <t xml:space="preserve">HIRAISEIMITSU </t>
  </si>
  <si>
    <t>service</t>
  </si>
  <si>
    <t xml:space="preserve">SAHA ASIA PACIFIC </t>
  </si>
  <si>
    <t>9.3.2  In the fourth quarter of 2009, the Company decreased the proportion of investment in an associated company from</t>
  </si>
  <si>
    <t xml:space="preserve">       22.1  According to the resolution of the General Meeting of the shareholders for the year 2009 No. 38 held on April 27, 2009</t>
  </si>
  <si>
    <t xml:space="preserve">Cost of facility </t>
  </si>
  <si>
    <t xml:space="preserve">     - P.C.B. CENTER CO., LTD.</t>
  </si>
  <si>
    <t xml:space="preserve">                            and Baht 1,537,000.00, respectively.</t>
  </si>
  <si>
    <t xml:space="preserve">                 29.1.3 The  Company  made  an  agreement  to purchase electricity current from an affiliated company  for 15 years </t>
  </si>
  <si>
    <t xml:space="preserve">     a result  of  a  past  event.  It is probable  that an  outflow of  economic  benefits  resources  will  be required  to settle the </t>
  </si>
  <si>
    <t xml:space="preserve"> - 6 -</t>
  </si>
  <si>
    <t>- 16 -</t>
  </si>
  <si>
    <t>Net</t>
  </si>
  <si>
    <t>Deposit for land - Nort Park Project</t>
  </si>
  <si>
    <t xml:space="preserve">                 The Company has entered into the contract to buy and to sell of land in Nort Park Project with Nort Park Real estate </t>
  </si>
  <si>
    <t xml:space="preserve">        Company Limited for the area of 2 rais 1 Ngan and 20.5  sguare wah of Baht 60,753,000.00.  The Company has fully paid </t>
  </si>
  <si>
    <t xml:space="preserve">        construction is completed (within 54 months from the contract date).</t>
  </si>
  <si>
    <t xml:space="preserve">        for land under such contract.   The  Company  will  be  received  the  transfer  of  land  ownership  whenever  the building </t>
  </si>
  <si>
    <t xml:space="preserve">       remaining convertible debentures amounting to Baht 40,000.00.</t>
  </si>
  <si>
    <t>- 22 -</t>
  </si>
  <si>
    <t xml:space="preserve">ANGLO - EURO SYNDICATE </t>
  </si>
  <si>
    <t xml:space="preserve">       CO., LTD. </t>
  </si>
  <si>
    <t xml:space="preserve">SIAM TREE DEVELOPMENT </t>
  </si>
  <si>
    <t xml:space="preserve">          CO., LTD.</t>
  </si>
  <si>
    <t xml:space="preserve">SIAM COMMERCIAL </t>
  </si>
  <si>
    <t xml:space="preserve">THAI HERBAL PRODUCTS </t>
  </si>
  <si>
    <t xml:space="preserve">AMATA (VIETNAM) </t>
  </si>
  <si>
    <t xml:space="preserve">IMPERIAL TECHNOLOGY </t>
  </si>
  <si>
    <t xml:space="preserve">          MANAGEMENT </t>
  </si>
  <si>
    <t xml:space="preserve">SOMPHO JAPAN INSURANCE </t>
  </si>
  <si>
    <t xml:space="preserve">          (THAILAND) CO., LTD.</t>
  </si>
  <si>
    <t xml:space="preserve">KHON KAEN VITHES SUKSA </t>
  </si>
  <si>
    <t>School</t>
  </si>
  <si>
    <t xml:space="preserve">UDORNPANYAWET HOSPITAL </t>
  </si>
  <si>
    <t xml:space="preserve">SIAM I - LOGISTICS </t>
  </si>
  <si>
    <t xml:space="preserve">DEEHON FARMACUTICAL </t>
  </si>
  <si>
    <t xml:space="preserve">          (THAILAND) CO., LTD. </t>
  </si>
  <si>
    <t xml:space="preserve">DAI SO SUNGKEAW </t>
  </si>
  <si>
    <t xml:space="preserve">MORGAN DE TOI </t>
  </si>
  <si>
    <t xml:space="preserve">OTSUKA SAHA ASIA </t>
  </si>
  <si>
    <t xml:space="preserve">          RESEARCH CO., LTD.</t>
  </si>
  <si>
    <t xml:space="preserve">THAI ASAHI KASEI </t>
  </si>
  <si>
    <t>THAI Q. P. CO., LTD.</t>
  </si>
  <si>
    <t xml:space="preserve">          SPANDEX CO., LTD.</t>
  </si>
  <si>
    <t xml:space="preserve">     Total general investment - other companies</t>
  </si>
  <si>
    <t xml:space="preserve">      Ratchaburi</t>
  </si>
  <si>
    <t xml:space="preserve">      Sriracha</t>
  </si>
  <si>
    <t xml:space="preserve">      Lopburi</t>
  </si>
  <si>
    <t xml:space="preserve">      Chainart</t>
  </si>
  <si>
    <t>SAHA PATHANA INTER - HOLDING PUBLIC COMPANY LIMITED</t>
  </si>
  <si>
    <t>NOTES TO FINANCIAL STATEMENTS</t>
  </si>
  <si>
    <t>1.  PRESENTATION OF FINANCIAL STATEMENTS</t>
  </si>
  <si>
    <t>2.  GENERAL INFORMATION</t>
  </si>
  <si>
    <t xml:space="preserve">                                   Province</t>
  </si>
  <si>
    <t xml:space="preserve">                                     Total</t>
  </si>
  <si>
    <t xml:space="preserve">               Undue</t>
  </si>
  <si>
    <t xml:space="preserve">               From 1 month to 3 months</t>
  </si>
  <si>
    <t xml:space="preserve">               Over 3 months to 6 months</t>
  </si>
  <si>
    <t xml:space="preserve">               Over 6 months to 12 months</t>
  </si>
  <si>
    <t xml:space="preserve">               Over 12 months </t>
  </si>
  <si>
    <t xml:space="preserve">               Accrued income - net</t>
  </si>
  <si>
    <t>Relationship</t>
  </si>
  <si>
    <t>No.</t>
  </si>
  <si>
    <t>Cost method</t>
  </si>
  <si>
    <t>Dividend</t>
  </si>
  <si>
    <t>(Baht)</t>
  </si>
  <si>
    <t>(Thousand Baht)</t>
  </si>
  <si>
    <t>THANULUX PLC.</t>
  </si>
  <si>
    <t>Garment</t>
  </si>
  <si>
    <t>A, E</t>
  </si>
  <si>
    <t>THAI PRESIDENT FOODS PLC.</t>
  </si>
  <si>
    <t>Food processing</t>
  </si>
  <si>
    <t>THAI WACOAL PLC.</t>
  </si>
  <si>
    <t>Lingeries</t>
  </si>
  <si>
    <t>SAHA PATHANAPIBUL PLC.</t>
  </si>
  <si>
    <t>Consumer products</t>
  </si>
  <si>
    <t>I.C.C. INTERNATIONAL PLC.</t>
  </si>
  <si>
    <t>THAI HOOVER INDUSTRY CO., LTD.</t>
  </si>
  <si>
    <t>Plastic products</t>
  </si>
  <si>
    <t>A</t>
  </si>
  <si>
    <t>PITAKKIJ CO., LTD.</t>
  </si>
  <si>
    <t>Service</t>
  </si>
  <si>
    <t>THAI ITOKIN CO., LTD.</t>
  </si>
  <si>
    <t>A, C, E</t>
  </si>
  <si>
    <t>S. APPAREL CO., LTD.</t>
  </si>
  <si>
    <t>Less   Provision for loss on impairment</t>
  </si>
  <si>
    <t>EASTERN THAI CONSULTING 1992 CO., LTD.</t>
  </si>
  <si>
    <t>SAHACHOL FOOD SUPPLIES CO., LTD.</t>
  </si>
  <si>
    <t>Agriculture products</t>
  </si>
  <si>
    <t>FIRST UNITED INDUSTRY CO., LTD.</t>
  </si>
  <si>
    <t>Investment</t>
  </si>
  <si>
    <t>THE LION CORPORATION (THAILAND) CO., LTD.</t>
  </si>
  <si>
    <t>Detergent</t>
  </si>
  <si>
    <t>SAHAPAT PROPERTIES CO., LTD.</t>
  </si>
  <si>
    <t>A, B, E</t>
  </si>
  <si>
    <t>Cosmetics</t>
  </si>
  <si>
    <t>SPORT ACE CO., LTD.</t>
  </si>
  <si>
    <t>Sport shoes</t>
  </si>
  <si>
    <t>SHALDAN (THAILAND) CO., LTD.</t>
  </si>
  <si>
    <t>Air refresher</t>
  </si>
  <si>
    <t>FAMILY GLOVE CO., LTD.</t>
  </si>
  <si>
    <t>Rubber glove</t>
  </si>
  <si>
    <t>CHAMP ACE CO., LTD.</t>
  </si>
  <si>
    <t>T.U.C ELASTIC CO., LTD.</t>
  </si>
  <si>
    <t>Power net</t>
  </si>
  <si>
    <t>TOP TREND MANUFACTURING CO., LTD.</t>
  </si>
  <si>
    <t>SAHAPAT REAL ESTATE CO., LTD.</t>
  </si>
  <si>
    <t>Property developer</t>
  </si>
  <si>
    <t>K.R.S. LOGISTICS CO., LTD.</t>
  </si>
  <si>
    <t>Logistic</t>
  </si>
  <si>
    <t>BANGKOK NYLON PLC.</t>
  </si>
  <si>
    <t>BANGKOK RUBBER PLC.</t>
  </si>
  <si>
    <t>BOUTIQUE NEWCITY PLC.</t>
  </si>
  <si>
    <t>PAN ASIA FOOTWEAR PLC.</t>
  </si>
  <si>
    <t>Total</t>
  </si>
  <si>
    <t>GENERAL GLASS CO., LTD.</t>
  </si>
  <si>
    <t>THAI MONSTER CO., LTD.</t>
  </si>
  <si>
    <t>HK$ 2,000</t>
  </si>
  <si>
    <t>THAI SHIKIBO CO., LTD.</t>
  </si>
  <si>
    <t>RACHA UCHINO CO., LTD.</t>
  </si>
  <si>
    <t>THAI STAFLEX CO., LTD.</t>
  </si>
  <si>
    <t>THAI FUJIYA CO., LTD.</t>
  </si>
  <si>
    <t>THAI ARAI CO., LTD.</t>
  </si>
  <si>
    <t>THAI LOTTE CO., LTD.</t>
  </si>
  <si>
    <t>TREASURE HILLS CO., LTD.</t>
  </si>
  <si>
    <t>TAKE HI-TECH CO., LTD.</t>
  </si>
  <si>
    <t>Other companies</t>
  </si>
  <si>
    <t xml:space="preserve">            11, 2006 and November 3, 2006, respectively requested to amend  the Accounting Standards  no. 44  "Consolidated </t>
  </si>
  <si>
    <t xml:space="preserve">            Financial Statements and Accounting for  Investments in Subsidiaries" and no. 45  "Accounting  for  Investments in </t>
  </si>
  <si>
    <t xml:space="preserve">            method to cost method.   </t>
  </si>
  <si>
    <t>4.  SIGNIFICANT ACCOUNTING RECOGNITION</t>
  </si>
  <si>
    <t xml:space="preserve">     4.2  Revenues from services are recognized as revenue when the services are rendered to the customers.</t>
  </si>
  <si>
    <t xml:space="preserve">     4.4  The Company recognized dividend as revenue in total whenever the declaration is made.</t>
  </si>
  <si>
    <t xml:space="preserve">     4.5  Cash and cash equivalents</t>
  </si>
  <si>
    <t xml:space="preserve">     4.1  Revenues and expenses are recognized on an accrual basis.</t>
  </si>
  <si>
    <t xml:space="preserve">     4.6  Allowance for doubtful accounts</t>
  </si>
  <si>
    <t xml:space="preserve">     4.7  Inventory Valuation</t>
  </si>
  <si>
    <t xml:space="preserve">     4.8  Investment in associated companies</t>
  </si>
  <si>
    <t xml:space="preserve">            Long - term investments in marketable was securities available for sales are stated  at  fair value.  The difference of</t>
  </si>
  <si>
    <t xml:space="preserve">            Long - term  investments  in  foreign non - marketable securities which are held as  general  investment,  are stated </t>
  </si>
  <si>
    <t xml:space="preserve">            Long - term  investments  in  non-marketable  securities which  are held  as  general   investment, are stated at cost</t>
  </si>
  <si>
    <t xml:space="preserve">            Long - term investments in foreign marketable was securrties available for sales are stated at fair value, converting </t>
  </si>
  <si>
    <t xml:space="preserve">     rates  ruling  on  the  transaction  dates.  </t>
  </si>
  <si>
    <t xml:space="preserve">             Assets  and  liabilities  in  foreign currencies  as  at  the  balance  sheets date are converted into Thai Baht by using the </t>
  </si>
  <si>
    <t xml:space="preserve">     exchange  rates  ruling on the same day.    </t>
  </si>
  <si>
    <t>3.  NEW ACCOUNTING STANDARDS ISSUANCE</t>
  </si>
  <si>
    <t xml:space="preserve">     4.10 Property, plant and equipment</t>
  </si>
  <si>
    <t xml:space="preserve">     4.11 Cost of land development</t>
  </si>
  <si>
    <t xml:space="preserve">     4.12 Provision for impairment of assets</t>
  </si>
  <si>
    <t xml:space="preserve">     4.13 Transactions in Foreign Currencies</t>
  </si>
  <si>
    <t xml:space="preserve">     4.14 Leasehold right</t>
  </si>
  <si>
    <t xml:space="preserve">     4.15 Intangible assets</t>
  </si>
  <si>
    <t xml:space="preserve">     4.16 Provident Fund</t>
  </si>
  <si>
    <t>Financial statements in which the equity</t>
  </si>
  <si>
    <t>method is applied and separate financial statements</t>
  </si>
  <si>
    <t>5.  CASH AND CASH EQUIVALENTS</t>
  </si>
  <si>
    <t>8.   SHORT - TERM LOANS TO RELATED PARTIES</t>
  </si>
  <si>
    <t xml:space="preserve"> - 7 -</t>
  </si>
  <si>
    <t>Type  of business</t>
  </si>
  <si>
    <t>Paid-up capital</t>
  </si>
  <si>
    <t xml:space="preserve">Financial statements in which the </t>
  </si>
  <si>
    <t xml:space="preserve">            Investment in associated companies is investment in an enterprise  in  which  the  investor  has  significant  influence </t>
  </si>
  <si>
    <t xml:space="preserve">     companies from  the investment  reported  at  nil,  except  the extent  that group of  company  has incurred obligations to </t>
  </si>
  <si>
    <t xml:space="preserve">     and has the power to participate in the financial and operating policy decisions  of  the  investment  but  is  not  in control </t>
  </si>
  <si>
    <t xml:space="preserve">       PUBLIC COMPANY LIMITED</t>
  </si>
  <si>
    <t>As at December 31,2009</t>
  </si>
  <si>
    <t>As at December 31,2008</t>
  </si>
  <si>
    <t xml:space="preserve">              The Company  has the balance of real estate  under to buy  and to sell  contract as at  December 31, 2009 and 2008 of Baht </t>
  </si>
  <si>
    <t xml:space="preserve">      1.28  million  and  Baht  29.23  million  and  recognized  cost  of  that  real  estate  of  Baht  40.44  million  and  Baht  16.71 million, </t>
  </si>
  <si>
    <t xml:space="preserve">               Property, plant and equipment shown in financial statements as at December 31, 2009 and 2008 consist of :</t>
  </si>
  <si>
    <t xml:space="preserve">          As at December 31, 2009</t>
  </si>
  <si>
    <r>
      <t xml:space="preserve">            Depreciation for the year ended December 31, 2009 and 2008 was Baht 85.49 million and Baht 84.78</t>
    </r>
    <r>
      <rPr>
        <sz val="16"/>
        <color indexed="8"/>
        <rFont val="AngsanaUPC"/>
        <family val="1"/>
      </rPr>
      <t xml:space="preserve"> million, respectively.</t>
    </r>
  </si>
  <si>
    <t xml:space="preserve">            Fixed assets at cost of Baht 246.94 million and Baht 165.70 million, which were fully depreciated for the year of 2009 and 2008, respectively, are still being operated. </t>
  </si>
  <si>
    <t>As at December 31, 2009</t>
  </si>
  <si>
    <t xml:space="preserve">                Amortization expenses for the year ended  December 31, 2009 and 2008 was Baht 329,952.99 and Baht 225,473.76,  </t>
  </si>
  <si>
    <t>59</t>
  </si>
  <si>
    <t>60</t>
  </si>
  <si>
    <t>61</t>
  </si>
  <si>
    <t xml:space="preserve">F </t>
  </si>
  <si>
    <t>allowance.</t>
  </si>
  <si>
    <t>KABINPATTHANAKIJ CO., LTD</t>
  </si>
  <si>
    <t xml:space="preserve">   FOOTWARE CO., LTD.</t>
  </si>
  <si>
    <t>I. D. F. CO.,LTD.</t>
  </si>
  <si>
    <t xml:space="preserve">            of Department of Business Development by Ministry of Commerce dated January 30, 2009 regarding the candensed   </t>
  </si>
  <si>
    <t xml:space="preserve">                    TAS 36  (Revised 2007) Impairment of Assets</t>
  </si>
  <si>
    <t xml:space="preserve">                    TFRS 5   (Revised 2007) Non-current Assets Held for Sale and Discontinued Operations (Formerly TAS 54)</t>
  </si>
  <si>
    <t xml:space="preserve">                    Accounting Treatment Guidance for Leasehold Right</t>
  </si>
  <si>
    <t xml:space="preserve">                    TAS. 20  Accounting for Government Grants and Disclosure of </t>
  </si>
  <si>
    <t xml:space="preserve">                   TAS. 24  (Revised 2007) Related Party Disclosures</t>
  </si>
  <si>
    <t xml:space="preserve">                   TAS. 40  Investment Property</t>
  </si>
  <si>
    <t>4.  SIGNIFICANT ACCOUNTING RECOGNITION  (CONTINUED)</t>
  </si>
  <si>
    <t>- 8 -</t>
  </si>
  <si>
    <t xml:space="preserve"> - 18 -</t>
  </si>
  <si>
    <t>- 20 -</t>
  </si>
  <si>
    <t xml:space="preserve"> - 27 -</t>
  </si>
  <si>
    <t>- 29 -</t>
  </si>
  <si>
    <t xml:space="preserve"> - 36 -</t>
  </si>
  <si>
    <t xml:space="preserve">The Company and its employees have jointly estabished a provident fund on May 30, 1990 in accordance with </t>
  </si>
  <si>
    <t xml:space="preserve">      the provident  fund  Act  B.E.  2530  and  assigned  the authorized  manager to  manage  this  fund by  deducting  the </t>
  </si>
  <si>
    <t xml:space="preserve">      employee's  and the  Company's  contribution  to the  fund.  The benefits  will be  entitled  to  the  employees  on their </t>
  </si>
  <si>
    <t xml:space="preserve">      resignation in accordance with the fund regulation.  For the year ended  December 31, 2009 and 2008,  the Company  </t>
  </si>
  <si>
    <t xml:space="preserve">      paid a contribution to the fund in the amount of Baht 6.53 million and Baht 5.98 million, respectively. </t>
  </si>
  <si>
    <t xml:space="preserve">The Company has  policy for retirement  of employees when  they are 60 years old  and the Company  will pay </t>
  </si>
  <si>
    <t xml:space="preserve">      retirement benefit to  its employees  when they are retired.  The retirement benefit will be pay  at the rate separated  by </t>
  </si>
  <si>
    <t xml:space="preserve">      qualities of each employee in accordance  with announcement regarding  to the employees' retirement regulation dated </t>
  </si>
  <si>
    <t xml:space="preserve">      December 20, 1999. The retirement benefit payment should not less than the amount determined by the labor law. The </t>
  </si>
  <si>
    <t xml:space="preserve">      Company  has gradually provided the  reserve for retirement benefit  for the employees who are 55 years old onwards </t>
  </si>
  <si>
    <t xml:space="preserve">      by calculating  from  a half of the current  salaries  multiply  by the age  of services. For the year ended  December 31, </t>
  </si>
  <si>
    <t>Shopping</t>
  </si>
  <si>
    <t xml:space="preserve">and all persons in positions comparable to these fourth executive levels consist of salaries, bonus, retirement benefit and meeting </t>
  </si>
  <si>
    <t xml:space="preserve">      2009 and 2008, the Company has recorded expenses amount of Baht 3.91 million and Baht 8.30 million, respectively </t>
  </si>
  <si>
    <t xml:space="preserve">      and the Company  will transfer  from  the provided  amount when the payment is made.</t>
  </si>
  <si>
    <t xml:space="preserve">                 As at  December 31, 2009 and 2008,  the Company  has  financial  assets  and   liabilities  which  have  interest rate risk  as  follows:</t>
  </si>
  <si>
    <t>Current portion of long - term debts</t>
  </si>
  <si>
    <t xml:space="preserve">          Interest rate  and maturity  of financial instruments  in the balance sheets date  as at December  31, 2009  and 2008  are as follows:</t>
  </si>
  <si>
    <t xml:space="preserve">      The financial  statements  for the  year ended December 31, 2008  have been reclassified to be conformed to</t>
  </si>
  <si>
    <t>the presentation in the financial statements for the year 2009.</t>
  </si>
  <si>
    <t xml:space="preserve"> - 41 -</t>
  </si>
  <si>
    <r>
      <t xml:space="preserve">         </t>
    </r>
    <r>
      <rPr>
        <u val="single"/>
        <sz val="16"/>
        <rFont val="AngsanaUPC"/>
        <family val="1"/>
      </rPr>
      <t xml:space="preserve">Less </t>
    </r>
    <r>
      <rPr>
        <sz val="16"/>
        <rFont val="AngsanaUPC"/>
        <family val="1"/>
      </rPr>
      <t xml:space="preserve"> Current portion of long - term debt</t>
    </r>
  </si>
  <si>
    <t xml:space="preserve">         Long - term loans - net</t>
  </si>
  <si>
    <t xml:space="preserve">       share capital  the  conversion  price  will  be Baht  121.00  per share.  As at  December 31, 2009 and 2008,  there were 40</t>
  </si>
  <si>
    <t>22. DIVIDEND</t>
  </si>
  <si>
    <t xml:space="preserve">     conditions described in the Revenue Code.</t>
  </si>
  <si>
    <t>A, C</t>
  </si>
  <si>
    <t xml:space="preserve">       of Baht 1,000.00 each at the interest rate of 6% per annum which was redeemed on March 1, 1995. In 1992 after increases </t>
  </si>
  <si>
    <t>Separate financial statements - cost method</t>
  </si>
  <si>
    <t>equity method is applied</t>
  </si>
  <si>
    <t>¥34,433</t>
  </si>
  <si>
    <t>JANOME (THAILAND) CO., LTD.</t>
  </si>
  <si>
    <t xml:space="preserve">(formerly named THAI JANOME </t>
  </si>
  <si>
    <t xml:space="preserve">Sewing </t>
  </si>
  <si>
    <t xml:space="preserve">machine </t>
  </si>
  <si>
    <t xml:space="preserve">        incurred loss of Baht 18,225,900.00 which was recorded a provision for loss on impairment.</t>
  </si>
  <si>
    <t xml:space="preserve">the promoted business from the date of earning income </t>
  </si>
  <si>
    <t>Sep 30, 08</t>
  </si>
  <si>
    <t>Dec 31,09</t>
  </si>
  <si>
    <t>from  the expired date of exemption</t>
  </si>
  <si>
    <t>(matured on rights and privileges)</t>
  </si>
  <si>
    <t>of promotion (matured on rights  and privileges)</t>
  </si>
  <si>
    <t>Electronics</t>
  </si>
  <si>
    <t>SUN 108 CO., LTD. ( formerly named</t>
  </si>
  <si>
    <t xml:space="preserve">         SUN COLOR CO.,LTD. )</t>
  </si>
  <si>
    <t>10. INVESTMENT IN RELATED PARTIES</t>
  </si>
  <si>
    <t xml:space="preserve">     10.2  General Investment</t>
  </si>
  <si>
    <t xml:space="preserve">      10.2  General investment (continued)</t>
  </si>
  <si>
    <t xml:space="preserve">      US $ 290</t>
  </si>
  <si>
    <t>SIAM  AUTOBACS CO., LTD.</t>
  </si>
  <si>
    <t>11. OTHER LONG - TERM INVESTMENTS</t>
  </si>
  <si>
    <t xml:space="preserve">      11.1  Investment in securities available for sales</t>
  </si>
  <si>
    <t xml:space="preserve">      11.2  General investment  (continued)</t>
  </si>
  <si>
    <t>- 17 -</t>
  </si>
  <si>
    <t>Financial statements in which the equity method is applied</t>
  </si>
  <si>
    <t>and separate financial statements</t>
  </si>
  <si>
    <t>12. REAL ESTATE FOR SALE</t>
  </si>
  <si>
    <t xml:space="preserve">      12.2  Other land are detailed as follows:</t>
  </si>
  <si>
    <t>A, B, F</t>
  </si>
  <si>
    <t>A, B</t>
  </si>
  <si>
    <t xml:space="preserve">A, B </t>
  </si>
  <si>
    <t xml:space="preserve">A, F </t>
  </si>
  <si>
    <t>A, E ,F</t>
  </si>
  <si>
    <t xml:space="preserve">          FACTORING  PLC.</t>
  </si>
  <si>
    <t>THAI MEDICAL CENTER  PLC.</t>
  </si>
  <si>
    <t xml:space="preserve">          SERVICE  PLC.</t>
  </si>
  <si>
    <t xml:space="preserve">               As at  December 31, 2009 and 2008  the  Company  has legal  reserve in  the amount  of Baht  80  million  which  is </t>
  </si>
  <si>
    <t>Cost of  Consulting and services</t>
  </si>
  <si>
    <t xml:space="preserve">            enunciated  under the Accounting Professions  Act   B.E.  2547  and  presented  in  accordance with the notification</t>
  </si>
  <si>
    <t xml:space="preserve">            Act  B.E. 2535.  </t>
  </si>
  <si>
    <t xml:space="preserve">            Commission  regarding  the  preparation  presentation   of  financial  reporting  under  the  Securities  and  Exchange </t>
  </si>
  <si>
    <t xml:space="preserve">            form should  be  included in  the financial  statements B.E. 2552 and the regulations  of the Securities and Exchange </t>
  </si>
  <si>
    <t xml:space="preserve">             The  management  of  the  Company  evaluated  that  TAS  20  is  not  relevant  to  the  Company's  business,  TAS 24 </t>
  </si>
  <si>
    <t xml:space="preserve">     applied.</t>
  </si>
  <si>
    <t xml:space="preserve">     (Revised 2007) and TAS 40 will not have material impact on the financial statements for the year in which they are initially </t>
  </si>
  <si>
    <t xml:space="preserve">     the effect  of  these standards  and believes that TFRS 5  (Revised 2007) and Accounting Treatment  Guidance for Business</t>
  </si>
  <si>
    <t xml:space="preserve">     financial  statements  for  the  period  beginning  on  or  after January  1, 2009.  The Company's management   has  assessed </t>
  </si>
  <si>
    <t xml:space="preserve">     Combination  under  Common  Control  are  not  relevant  to  the  Company's  business,   while  Framework  for  Preparation</t>
  </si>
  <si>
    <t xml:space="preserve">     and Presentation of  Financial  Statements (Revised  2007),  TAS 36  (Revised 2007) and  Accounting Treatment Guidance</t>
  </si>
  <si>
    <t>As at  December  31, 2009 and  2008,  the Company recorded  investments and share of  profit   in  16 and 17</t>
  </si>
  <si>
    <t xml:space="preserve">            associated  companies  from  the  financial  statements audited  by  the  other auditors  which  14  and  12  associated </t>
  </si>
  <si>
    <t xml:space="preserve">     Cost of Rental</t>
  </si>
  <si>
    <t xml:space="preserve">     Cost of Exhibition </t>
  </si>
  <si>
    <t xml:space="preserve">     Cost of Royalties</t>
  </si>
  <si>
    <t>Administrative expenses</t>
  </si>
  <si>
    <t>29.  COMMITMENT AND CONTINGENT LIABILITIES</t>
  </si>
  <si>
    <t xml:space="preserve">        29.1  The Company has commitment which presented in the financial statements in which the equity method  is applied and </t>
  </si>
  <si>
    <t xml:space="preserve">                 29.1.1 The  Company  has commitment  for  letter  of  guarantee issuance by a commercial bank  for electricity  usage</t>
  </si>
  <si>
    <t xml:space="preserve">                 29.1.2 The Company  entered into an  agreement  for  using trademark for consumer products with a foreign company.  </t>
  </si>
  <si>
    <t>13.  REAL ESTATE UNDER TO BUY AND TO SELL CONTRACT</t>
  </si>
  <si>
    <t>THAI KOBASHI CO., LTD.</t>
  </si>
  <si>
    <t>BOONRAVEE CO., LTD.</t>
  </si>
  <si>
    <t>SAHA SEREN CO., LTD.</t>
  </si>
  <si>
    <t>NUBOON CO., LTD.</t>
  </si>
  <si>
    <t>UNION FROST CO., LTD.</t>
  </si>
  <si>
    <t>- 12 -</t>
  </si>
  <si>
    <t>BANGKOK CLUB CO., LTD.</t>
  </si>
  <si>
    <t>NOBLE PLACE CO., LTD.</t>
  </si>
  <si>
    <t>AMATA CITY CO., LTD.</t>
  </si>
  <si>
    <t>WINSTORE CO., LTD.</t>
  </si>
  <si>
    <t>Land</t>
  </si>
  <si>
    <t xml:space="preserve">Development </t>
  </si>
  <si>
    <t>cost</t>
  </si>
  <si>
    <t xml:space="preserve">      Lamphun</t>
  </si>
  <si>
    <t xml:space="preserve">      Kabinburi</t>
  </si>
  <si>
    <t xml:space="preserve">      Total</t>
  </si>
  <si>
    <t xml:space="preserve">      Grand total</t>
  </si>
  <si>
    <t>(Unit : Baht)</t>
  </si>
  <si>
    <t>Construction</t>
  </si>
  <si>
    <t>Office equipment</t>
  </si>
  <si>
    <t>Development</t>
  </si>
  <si>
    <t>Work in progress</t>
  </si>
  <si>
    <t>and others</t>
  </si>
  <si>
    <t xml:space="preserve">      Cost:</t>
  </si>
  <si>
    <t xml:space="preserve">               Purchases</t>
  </si>
  <si>
    <t xml:space="preserve">                Depreciation</t>
  </si>
  <si>
    <t xml:space="preserve">                Disposal</t>
  </si>
  <si>
    <t>Bank overdrafts</t>
  </si>
  <si>
    <t>Loans from banks</t>
  </si>
  <si>
    <t xml:space="preserve">         1.  Miss Pavinee       Poonsakudomsin</t>
  </si>
  <si>
    <t xml:space="preserve">         2.  Miss Ratiporn      Poonsakudomsin</t>
  </si>
  <si>
    <t xml:space="preserve">         3.  Mrs. Orapin         Poonsakudomsin</t>
  </si>
  <si>
    <t xml:space="preserve">         4.  Mrs. Malee          Poonsakudomsin</t>
  </si>
  <si>
    <t xml:space="preserve">               Cash  and  cash  equivalents  consist  of  cash  on  hand,  deposit  at  bank  and  financial institution.</t>
  </si>
  <si>
    <t>Vehicles</t>
  </si>
  <si>
    <t xml:space="preserve">      Net book value</t>
  </si>
  <si>
    <t xml:space="preserve">     - SAHACHOL FOOD SUPPLIES CO., LTD.</t>
  </si>
  <si>
    <t xml:space="preserve">     - PITAKKIJ CO., LTD.</t>
  </si>
  <si>
    <t>KENMIN FOOD (THAILAND)</t>
  </si>
  <si>
    <t xml:space="preserve"> CO., LTD.</t>
  </si>
  <si>
    <t xml:space="preserve">        CO., LTD.</t>
  </si>
  <si>
    <t xml:space="preserve">NEW CITY (BANGKOK)  </t>
  </si>
  <si>
    <t xml:space="preserve">PEOPLES GARMENT PUBLIC  </t>
  </si>
  <si>
    <t xml:space="preserve"> COMPANY LIMITED</t>
  </si>
  <si>
    <t xml:space="preserve"> CO.,LTD.</t>
  </si>
  <si>
    <t>THAI ASAHI KASEI   SPANDEX</t>
  </si>
  <si>
    <t>A, B, C, E, F</t>
  </si>
  <si>
    <t xml:space="preserve">           of  Baht 6,887.89  million  and  Baht  5,066.87  million   equal  to  49.91%   and  38.90%  of  total assets and  had share </t>
  </si>
  <si>
    <t xml:space="preserve">          of  profit of  Baht  686.34  million  and  Baht  441.29  million  equal  to 68.41%  and  47.79% of  net profit  of each  year,   </t>
  </si>
  <si>
    <t xml:space="preserve">          respectively and as at December 31, 2008.  In  1  public company  limited  was recorded from the  financial statements     </t>
  </si>
  <si>
    <t xml:space="preserve">          reviewed  by  the  other auditors  which  had  investment  value of  Baht 1,268.64 million  equal to 9.74%  of total assets  </t>
  </si>
  <si>
    <t xml:space="preserve">           and  had share of profit of Baht  179.85 million equal  to 19.48%  of  net  profit  </t>
  </si>
  <si>
    <t>SRIRACHA AVEATION CO., LTD.</t>
  </si>
  <si>
    <t xml:space="preserve">WASEDA EDUCATION </t>
  </si>
  <si>
    <t xml:space="preserve">BSC ENTERTAINMENT </t>
  </si>
  <si>
    <t xml:space="preserve">TIGER DISTRIBUTION AND </t>
  </si>
  <si>
    <t xml:space="preserve">          LOGISTICS CO., LTD.</t>
  </si>
  <si>
    <t>MCT HOLDING CO., LTD.</t>
  </si>
  <si>
    <t xml:space="preserve">MOLTEN (THAILAND) </t>
  </si>
  <si>
    <t xml:space="preserve">      CO., LTD.</t>
  </si>
  <si>
    <t xml:space="preserve">U.B. HAWORTH (THAILAND) </t>
  </si>
  <si>
    <t xml:space="preserve">     - FAMILY GLOVE CO., LTD.</t>
  </si>
  <si>
    <t xml:space="preserve">     - SHALDAN (THAILAND) CO., LTD.</t>
  </si>
  <si>
    <t xml:space="preserve">     - THAI ITOKIN CO., LTD.</t>
  </si>
  <si>
    <t xml:space="preserve">     - EASTERN THAI CONSULTING 1992 CO., LTD.</t>
  </si>
  <si>
    <t xml:space="preserve">     - THAI Q.P. CO., LTD.</t>
  </si>
  <si>
    <t xml:space="preserve">     - RAJA UCHINO CO., LTD.</t>
  </si>
  <si>
    <t>Equipment</t>
  </si>
  <si>
    <t>THAI OZUKA CO., LTD.</t>
  </si>
  <si>
    <t xml:space="preserve">     - THAI TAKEDA LACE CO., LTD.</t>
  </si>
  <si>
    <t xml:space="preserve">     - OSOTH INTER LABORATORIES CO., LTD.</t>
  </si>
  <si>
    <t xml:space="preserve">     - SSDC (TIGERTEX) CO., LTD.</t>
  </si>
  <si>
    <t>Total commitment</t>
  </si>
  <si>
    <t xml:space="preserve">     Related companies </t>
  </si>
  <si>
    <t xml:space="preserve">          Note : Relationship</t>
  </si>
  <si>
    <t xml:space="preserve">                    A  Shareholding by the Company</t>
  </si>
  <si>
    <t>D  Loan given by the Company</t>
  </si>
  <si>
    <t>E  Inter - company trading</t>
  </si>
  <si>
    <t>-</t>
  </si>
  <si>
    <t xml:space="preserve">                    C  Guaranteed by the Company</t>
  </si>
  <si>
    <t>(%)</t>
  </si>
  <si>
    <t>Distributor</t>
  </si>
  <si>
    <t>Security</t>
  </si>
  <si>
    <t>system</t>
  </si>
  <si>
    <t>Instant noodles</t>
  </si>
  <si>
    <t>Bakery</t>
  </si>
  <si>
    <t>Motorcycle</t>
  </si>
  <si>
    <t>accessories</t>
  </si>
  <si>
    <t xml:space="preserve">Embroidered </t>
  </si>
  <si>
    <t>Clothes</t>
  </si>
  <si>
    <t>parts</t>
  </si>
  <si>
    <t xml:space="preserve">Cosmetic </t>
  </si>
  <si>
    <t>Golf course</t>
  </si>
  <si>
    <t xml:space="preserve">       COMPANY LIMITED</t>
  </si>
  <si>
    <t>Textile</t>
  </si>
  <si>
    <t>Electric</t>
  </si>
  <si>
    <t>Product  lace</t>
  </si>
  <si>
    <t>circuit</t>
  </si>
  <si>
    <t xml:space="preserve">     (Less)  Provision for loss on decrease of investment</t>
  </si>
  <si>
    <t xml:space="preserve">GUANGDONG XIEZHONG GARMENT </t>
  </si>
  <si>
    <t>Environment</t>
  </si>
  <si>
    <t xml:space="preserve">         Long - term loans</t>
  </si>
  <si>
    <t xml:space="preserve">Beauty Service </t>
  </si>
  <si>
    <t>Spandex</t>
  </si>
  <si>
    <t>THAI BUNKA FASHION</t>
  </si>
  <si>
    <t>Leathern cloth</t>
  </si>
  <si>
    <t xml:space="preserve">     - T.U.C.  ELASTIC CO., LTD.</t>
  </si>
  <si>
    <t xml:space="preserve">     - KEWPIE (THAILAND) CO., LTD. </t>
  </si>
  <si>
    <t xml:space="preserve">                     Note : Relationship</t>
  </si>
  <si>
    <t xml:space="preserve">                     A  Shareholding by the Company</t>
  </si>
  <si>
    <t xml:space="preserve">                     B  Directorship</t>
  </si>
  <si>
    <t xml:space="preserve">                     C  Guaranteed by the Company</t>
  </si>
  <si>
    <t xml:space="preserve">Goods reserch and </t>
  </si>
  <si>
    <t>1</t>
  </si>
  <si>
    <t>2</t>
  </si>
  <si>
    <t>3</t>
  </si>
  <si>
    <t>4</t>
  </si>
  <si>
    <t xml:space="preserve">                 -</t>
  </si>
  <si>
    <t>5</t>
  </si>
  <si>
    <t>A,  E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</si>
  <si>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</si>
  <si>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</si>
  <si>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</si>
  <si>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</si>
  <si>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</si>
  <si>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</si>
  <si>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</si>
  <si>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</si>
  <si>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</si>
  <si>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</si>
  <si>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</si>
  <si>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</si>
  <si>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</si>
  <si>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</si>
  <si>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</si>
  <si>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</si>
  <si>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</si>
  <si>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</si>
  <si>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</si>
  <si>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</si>
  <si>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</si>
  <si>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</si>
  <si>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</si>
  <si>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</si>
  <si>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</si>
  <si>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</si>
  <si>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 xml:space="preserve">S.S.D.C (TIGERTEX) </t>
  </si>
  <si>
    <t>32</t>
  </si>
  <si>
    <t>33</t>
  </si>
  <si>
    <t>34</t>
  </si>
  <si>
    <t>A,C, E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</si>
  <si>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</si>
  <si>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</si>
  <si>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</si>
  <si>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</si>
  <si>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</si>
  <si>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</si>
  <si>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</si>
  <si>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</si>
  <si>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</si>
  <si>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</si>
  <si>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 xml:space="preserve">KEWPIE (THAILAND) 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</si>
  <si>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</si>
  <si>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</si>
  <si>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</si>
  <si>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</si>
  <si>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</si>
  <si>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</si>
  <si>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</si>
  <si>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</si>
  <si>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</si>
  <si>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 xml:space="preserve">         equal  to  99.33% and 99.66%  of  total  other payables as detailed following :</t>
  </si>
  <si>
    <t xml:space="preserve">In 2009,  the  Company  has  revenues  from 100  related  companies  and persons  of  Baht  1,753,438,160.49  and Baht </t>
  </si>
  <si>
    <t xml:space="preserve">       2,090,978,926.07  respectively,   the  transaction  which  have  value over than  Baht 500,0000.00  are equal  to 99.85% and</t>
  </si>
  <si>
    <t xml:space="preserve">       and Baht 1,871,434,079.20,  respectively,  the transaction which have value over than Baht 500,000.00  are equal to 96.80%</t>
  </si>
  <si>
    <t xml:space="preserve">       and 96.66%) as follows :</t>
  </si>
  <si>
    <t>QB (THAILAND) CO., LTD.</t>
  </si>
  <si>
    <t>Beauty salon</t>
  </si>
  <si>
    <t>54</t>
  </si>
  <si>
    <t xml:space="preserve">SRIRACHA BSC BOWLING </t>
  </si>
  <si>
    <t xml:space="preserve">Bowling </t>
  </si>
  <si>
    <t>55</t>
  </si>
  <si>
    <t xml:space="preserve">MIT PATHANA HOME </t>
  </si>
  <si>
    <t xml:space="preserve">          SHOPPING CO., LTD.</t>
  </si>
  <si>
    <t>Sale</t>
  </si>
  <si>
    <t xml:space="preserve">DOME COMPOSITES </t>
  </si>
  <si>
    <t>Cars</t>
  </si>
  <si>
    <t>Composite</t>
  </si>
  <si>
    <t xml:space="preserve">WINSOR PARK AND GOLF CLUB </t>
  </si>
  <si>
    <t xml:space="preserve">          CO., LTD. (FORMERLY NAMED </t>
  </si>
  <si>
    <t>KYOSHUN CO.,  LTD.</t>
  </si>
  <si>
    <t xml:space="preserve">          Increase</t>
  </si>
  <si>
    <t xml:space="preserve">          Decrease</t>
  </si>
  <si>
    <t xml:space="preserve">       (THAILAND)  CO., LTD).</t>
  </si>
  <si>
    <t xml:space="preserve">     (Less) Provision for impairment loss</t>
  </si>
  <si>
    <t>56</t>
  </si>
  <si>
    <t xml:space="preserve">     Paid - up share capital  </t>
  </si>
  <si>
    <t xml:space="preserve">Paid - up share capital </t>
  </si>
  <si>
    <t xml:space="preserve">Percentage of  investment </t>
  </si>
  <si>
    <t>O.C.C PLC.</t>
  </si>
  <si>
    <t xml:space="preserve">               Branch 1     Located    at   999    Moo  11,    Sukhapiban   8     Road,    Tambon   Nong-Kham,   Amphur  Sriracha, </t>
  </si>
  <si>
    <t xml:space="preserve">                                   Cholburi Province</t>
  </si>
  <si>
    <t xml:space="preserve">               Branch 2     Located  at  1  Moo  5,   Suwannasorn   Road,    Tambon   Non-si,    Amphur  Kabinburi,   Prachinburi </t>
  </si>
  <si>
    <t xml:space="preserve">            Cash and cash equivalents  consist of cash on hand,  deposit at bank with  3  months maturity  and notes payable to</t>
  </si>
  <si>
    <t xml:space="preserve">     financial institution.</t>
  </si>
  <si>
    <t xml:space="preserve">            The Company  provided  allowance for  doubtful  accounts equal  to  the  estimated  uncollectable receivable based </t>
  </si>
  <si>
    <t xml:space="preserve">     on the review of current status of each receivable.</t>
  </si>
  <si>
    <t xml:space="preserve">            Inventories  are valued at the lower of cost or net realizable value.  Cost is determined on first-in  first-out  (FIFO) </t>
  </si>
  <si>
    <t xml:space="preserve">     method.</t>
  </si>
  <si>
    <t xml:space="preserve">     equity.</t>
  </si>
  <si>
    <t xml:space="preserve">     less provision for impairment of investment.</t>
  </si>
  <si>
    <t xml:space="preserve">HWATOR  (THAILAND) </t>
  </si>
  <si>
    <t>FIVE STAR PLUS CO.,  LTD.</t>
  </si>
  <si>
    <t>ERAWAN TEXTILE CO., LTD.</t>
  </si>
  <si>
    <t>A, B,E</t>
  </si>
  <si>
    <t>SUNRISE GARMENT CO., LTD.</t>
  </si>
  <si>
    <t xml:space="preserve">                </t>
  </si>
  <si>
    <t xml:space="preserve">               Transfer </t>
  </si>
  <si>
    <t xml:space="preserve">               Disposal or amortization</t>
  </si>
  <si>
    <t xml:space="preserve">          As at December 31, 2008</t>
  </si>
  <si>
    <t xml:space="preserve">14.  PROPERTY, PLANT AND EQUIPMENT - NET </t>
  </si>
  <si>
    <t>Computer software</t>
  </si>
  <si>
    <t>Trademark</t>
  </si>
  <si>
    <t xml:space="preserve">        Purchases</t>
  </si>
  <si>
    <t>As at December 31, 2008</t>
  </si>
  <si>
    <t>Accumulated amortization of expenses</t>
  </si>
  <si>
    <t xml:space="preserve">        Amortization </t>
  </si>
  <si>
    <t>Net book value</t>
  </si>
  <si>
    <t xml:space="preserve">16. INTANGIBLE ASSETS - NET </t>
  </si>
  <si>
    <t>17.   OVERDRAFTS AND LOANS FROM BANKS AND FINANCIAL INSTITUTIONS</t>
  </si>
  <si>
    <t xml:space="preserve">        17.1  Bank overdrafts</t>
  </si>
  <si>
    <t xml:space="preserve">        17.2  Loans from banks</t>
  </si>
  <si>
    <t>18.  CONTINGENT LIABILITIES ON GUARANTEE</t>
  </si>
  <si>
    <t>33. EMPLOYEES BENEFIT EXPENSES (CONTINUED)</t>
  </si>
  <si>
    <t xml:space="preserve">      33.2 Retirement benefit</t>
  </si>
  <si>
    <t>34.  FINANCIAL INSTRUMENTS DISCLOSURE</t>
  </si>
  <si>
    <t xml:space="preserve">       34.1  Accounting policies</t>
  </si>
  <si>
    <t xml:space="preserve">       34.2  Management Risk</t>
  </si>
  <si>
    <t xml:space="preserve">       34.3  Interest Rate Risk</t>
  </si>
  <si>
    <t>34.  FINANCIAL INSTRUMENTS DISCLOSURE (CONTINUED)</t>
  </si>
  <si>
    <t>34.4  Credit Risk</t>
  </si>
  <si>
    <t>34.5  Exchange rate Risk</t>
  </si>
  <si>
    <t>34.6  Fair value of Financial instruments</t>
  </si>
  <si>
    <t>35.  RECLASSIFICATION</t>
  </si>
  <si>
    <t>36.  FINANCIAL STATEMENTS APPROVAL</t>
  </si>
  <si>
    <t xml:space="preserve">      31.5  REVENUES (Continued)</t>
  </si>
  <si>
    <t xml:space="preserve">      31.6  COST OF SERVICES</t>
  </si>
  <si>
    <t xml:space="preserve">       and 8 related companies and persons,  respectively.  The transaction which have value over than Baht 500,000.00 are equal </t>
  </si>
  <si>
    <t xml:space="preserve">       to 99.94% and 99.97% of cost of services as detailed following:</t>
  </si>
  <si>
    <t>In  2009  and  2008,  the Company  has cost of  services of  Baht 1,321,019,121.56 and Baht 1,321,226,561.00 with  22</t>
  </si>
  <si>
    <t>A, B ,E, F</t>
  </si>
  <si>
    <t>E, F</t>
  </si>
  <si>
    <t xml:space="preserve">      of 7% without  collateral.</t>
  </si>
  <si>
    <t>Accrued interest expense</t>
  </si>
  <si>
    <t xml:space="preserve">     (Formerly named THAI JANOME </t>
  </si>
  <si>
    <t xml:space="preserve">     (Formerly named  THAI JANOME </t>
  </si>
  <si>
    <t>ERAWAN TEXTILES</t>
  </si>
  <si>
    <t xml:space="preserve">       Company Act.  This legal reserve is not available for dividend distribution.</t>
  </si>
  <si>
    <t xml:space="preserve">       equalized  to  10  percent  of  authorized  share  capital.  The  appropriated  legal  reserve  is in  compliance with the Public </t>
  </si>
  <si>
    <t xml:space="preserve">                            This agreements  is the reciprocal contract  which either  of  parties has to perform according to the agreement.</t>
  </si>
  <si>
    <t xml:space="preserve">      shareholding or co-shareholders or directorship.  Those  transaction  are determined  in  the normal  course  of business </t>
  </si>
  <si>
    <t>20.  LONG - TERM LOANS FROM RELATED PERSONS</t>
  </si>
  <si>
    <t xml:space="preserve">             The Company  has  issued the 1st  convertible debenture to common shares worth  Baht  300.00 million  with par value </t>
  </si>
  <si>
    <t>21.  DEBENTURES AND CONVERTIBLE DEBENTURES</t>
  </si>
  <si>
    <t xml:space="preserve">                passed  to pay dividend  from  the results of  operation  for the year 2007 at  Baht 0.20 per share for 494,034,300 shares, </t>
  </si>
  <si>
    <t xml:space="preserve">                amounting to Baht 98,806,860.00 which was paid on May 16, 2008.</t>
  </si>
  <si>
    <t>(Baht : Thousand )</t>
  </si>
  <si>
    <t>Investment and others</t>
  </si>
  <si>
    <t>Rent and services</t>
  </si>
  <si>
    <t>Industrial park</t>
  </si>
  <si>
    <t xml:space="preserve">     Revenues</t>
  </si>
  <si>
    <t xml:space="preserve">     Expenses</t>
  </si>
  <si>
    <t xml:space="preserve">     Profit from operation</t>
  </si>
  <si>
    <t xml:space="preserve">     Common facilities</t>
  </si>
  <si>
    <t xml:space="preserve">     Interest expenses</t>
  </si>
  <si>
    <t xml:space="preserve">     Reversible of loss on impairment</t>
  </si>
  <si>
    <t xml:space="preserve">     Loss on impairment of securities</t>
  </si>
  <si>
    <t xml:space="preserve">     Property, plant and equipment </t>
  </si>
  <si>
    <t xml:space="preserve">     Other assets</t>
  </si>
  <si>
    <t xml:space="preserve">     Total assets</t>
  </si>
  <si>
    <t xml:space="preserve">     Segment liabilities</t>
  </si>
  <si>
    <t xml:space="preserve">     Non-segment liabilities</t>
  </si>
  <si>
    <t xml:space="preserve">     Total liabilities</t>
  </si>
  <si>
    <t xml:space="preserve">     Reversible of  loss on impairment</t>
  </si>
  <si>
    <t xml:space="preserve">       </t>
  </si>
  <si>
    <t xml:space="preserve">The Company has significant transaction with related companies. These companies are related through common </t>
  </si>
  <si>
    <t xml:space="preserve">      as similar to other parties.  </t>
  </si>
  <si>
    <t>Financial statements in which the</t>
  </si>
  <si>
    <t>Separated</t>
  </si>
  <si>
    <t>Financial statements</t>
  </si>
  <si>
    <t xml:space="preserve">          Assets/Liabilities</t>
  </si>
  <si>
    <t>Accrued income</t>
  </si>
  <si>
    <t>Loans to related companies</t>
  </si>
  <si>
    <t>Other  payables</t>
  </si>
  <si>
    <t xml:space="preserve">Accrued expenses and </t>
  </si>
  <si>
    <t xml:space="preserve">        unearned revenue</t>
  </si>
  <si>
    <t>Loans from related companies</t>
  </si>
  <si>
    <t xml:space="preserve">          Revenues</t>
  </si>
  <si>
    <t>Guarantee income</t>
  </si>
  <si>
    <t>Electricity and steam income</t>
  </si>
  <si>
    <t>Royalties income</t>
  </si>
  <si>
    <t>Consulting income</t>
  </si>
  <si>
    <t>Rental income</t>
  </si>
  <si>
    <t>Water income</t>
  </si>
  <si>
    <t>Interest income</t>
  </si>
  <si>
    <t>Dividend income</t>
  </si>
  <si>
    <t>Other income</t>
  </si>
  <si>
    <t>Treatment income</t>
  </si>
  <si>
    <t>Facility income</t>
  </si>
  <si>
    <t>Exhibition income</t>
  </si>
  <si>
    <t xml:space="preserve">      2.1  Saha  Pathana  Inter-Holding Public Company Limited  was  registered  as a  public  company  limited  on May 9, </t>
  </si>
  <si>
    <t xml:space="preserve">     payment due and have been made payment for the primary step.</t>
  </si>
  <si>
    <t>A, B, C</t>
  </si>
  <si>
    <t>A, B, C, E,  F</t>
  </si>
  <si>
    <t xml:space="preserve">       13,244,111.59  and  Baht 12,220,951.14,  respectively.   The transaction which have value over  than  Baht 500,000.00  are </t>
  </si>
  <si>
    <t xml:space="preserve">       99.88% of revenues as follows  (and in 2008,  from 95 related companies  and persons amounting to Baht 1,572,053,179.52</t>
  </si>
  <si>
    <t>- 30 -</t>
  </si>
  <si>
    <t xml:space="preserve"> - 37 -</t>
  </si>
  <si>
    <t xml:space="preserve">Real estate under to buy and to </t>
  </si>
  <si>
    <t xml:space="preserve">     sell contract</t>
  </si>
  <si>
    <t xml:space="preserve">     respectively.</t>
  </si>
  <si>
    <t xml:space="preserve">          Expenses</t>
  </si>
  <si>
    <t>Cost of electricity and steam</t>
  </si>
  <si>
    <t>Security expense</t>
  </si>
  <si>
    <t>Waste water treatment</t>
  </si>
  <si>
    <t>Water filtration expenses</t>
  </si>
  <si>
    <t>Analysis water expenses</t>
  </si>
  <si>
    <t>Exhibition expenses</t>
  </si>
  <si>
    <t>Rented car expenses</t>
  </si>
  <si>
    <t>Other expenses</t>
  </si>
  <si>
    <t>Interest expense</t>
  </si>
  <si>
    <t>Insurance premium</t>
  </si>
  <si>
    <t xml:space="preserve">     and sold to related and other companies.</t>
  </si>
  <si>
    <t>- 31 -</t>
  </si>
  <si>
    <t>THAI PRESIDENT FOOD PLC.</t>
  </si>
  <si>
    <t xml:space="preserve">SAHACHOL FOOD SUPPLIES </t>
  </si>
  <si>
    <t xml:space="preserve">     CO., LTD.</t>
  </si>
  <si>
    <t xml:space="preserve">LION COPORATION </t>
  </si>
  <si>
    <t xml:space="preserve">     (THAILAND) CO., LTD.</t>
  </si>
  <si>
    <t xml:space="preserve">TOP TREND MANUFACTURING </t>
  </si>
  <si>
    <t xml:space="preserve">S &amp; J INTERNATIONAL </t>
  </si>
  <si>
    <t xml:space="preserve">     ENTERPRISE PLC.</t>
  </si>
  <si>
    <t>TOTAL WAY IMAGE CO., LTD.</t>
  </si>
  <si>
    <t>THAI SUMSUNG ELECTRONICS</t>
  </si>
  <si>
    <t xml:space="preserve">NISSIN FOODS (THAILAND) </t>
  </si>
  <si>
    <t>- 32 -</t>
  </si>
  <si>
    <t>SSDC (TIGERTEXT) CO., LTD.</t>
  </si>
  <si>
    <t xml:space="preserve">OSOTH INTER LABORATORIES </t>
  </si>
  <si>
    <t xml:space="preserve">     (THAILAND) CO., LTD.)</t>
  </si>
  <si>
    <t xml:space="preserve">THAI ASAHI KASEI SPANDEX </t>
  </si>
  <si>
    <t>- 33 -</t>
  </si>
  <si>
    <t xml:space="preserve">EASTERN THAI CONSULTING </t>
  </si>
  <si>
    <t xml:space="preserve">     1992 CO., LTD.  </t>
  </si>
  <si>
    <t>PTK MULTI SERVICE CO., LTD.</t>
  </si>
  <si>
    <t>E</t>
  </si>
  <si>
    <t>Mrs. Malee  Poonsakudomsin</t>
  </si>
  <si>
    <t>Director's near relative</t>
  </si>
  <si>
    <t>Mrs. Orapin  Poonsakudomsin</t>
  </si>
  <si>
    <t>Miss. Pavinee  Poonsakudomsin</t>
  </si>
  <si>
    <t>Miss. Ratiporn  Poonsakudomsin</t>
  </si>
  <si>
    <t xml:space="preserve">FIRST UNITED INDUSTRY </t>
  </si>
  <si>
    <t xml:space="preserve">     CO., LTD.  </t>
  </si>
  <si>
    <t xml:space="preserve">THAI SUMSUNG ELECTRONICS </t>
  </si>
  <si>
    <t>THAI  ARAI CO., LTD.</t>
  </si>
  <si>
    <t>TORY THAI CO., LTD.</t>
  </si>
  <si>
    <t>I.C.C.  INTERNATIONAL PLC.</t>
  </si>
  <si>
    <t xml:space="preserve">HOOVER INDUSTRY </t>
  </si>
  <si>
    <t xml:space="preserve">     1992 CO., LTD.</t>
  </si>
  <si>
    <t xml:space="preserve">LION COPORATION (THAILAND) </t>
  </si>
  <si>
    <t xml:space="preserve">INTERNATIONAL LABORATORIES </t>
  </si>
  <si>
    <t xml:space="preserve">     CORP. LTD.</t>
  </si>
  <si>
    <t>T.U.C. ELASTIC CO., LTD.</t>
  </si>
  <si>
    <t>O.C.C. PUBLIC CO., LTD.</t>
  </si>
  <si>
    <t>BUTIQUE NEW CITY PLC.</t>
  </si>
  <si>
    <t xml:space="preserve">     PLC.</t>
  </si>
  <si>
    <t>THAI TAKEDA LACE CO., LTD.</t>
  </si>
  <si>
    <t xml:space="preserve">GRANSTAR INDUSTRY </t>
  </si>
  <si>
    <t xml:space="preserve">PATTAYA  MANUFACTURING </t>
  </si>
  <si>
    <t>THAI Q.P. CO., LTD.</t>
  </si>
  <si>
    <t>S.S.D.C (TIGERTEX) CO., LTD.</t>
  </si>
  <si>
    <t>H &amp; B INTERTEX CO., LTD.</t>
  </si>
  <si>
    <t>SAHACOGEN (CHONBURI) PLC.</t>
  </si>
  <si>
    <t>PTK MULTISERVICE CO., LTD.</t>
  </si>
  <si>
    <t xml:space="preserve">       Note     Relationship</t>
  </si>
  <si>
    <t>Shareholding by the Company</t>
  </si>
  <si>
    <t>B</t>
  </si>
  <si>
    <t>Directorship</t>
  </si>
  <si>
    <t>C</t>
  </si>
  <si>
    <t>Guaranteed by the Company</t>
  </si>
  <si>
    <t>D</t>
  </si>
  <si>
    <t>Loans given by the Company</t>
  </si>
  <si>
    <t>Inter - company trading</t>
  </si>
  <si>
    <t xml:space="preserve"> - 38 -</t>
  </si>
  <si>
    <t xml:space="preserve">The Company was granted certain rights and privileges under the Promotion of Investment Act B.E. 2520 as </t>
  </si>
  <si>
    <t xml:space="preserve">       follows :</t>
  </si>
  <si>
    <t>Type of Promoted Business</t>
  </si>
  <si>
    <t>Area of Industrial Estates</t>
  </si>
  <si>
    <t>Kabinburi</t>
  </si>
  <si>
    <t>Lumpoon</t>
  </si>
  <si>
    <t>Date of receiving promotion grant</t>
  </si>
  <si>
    <t>NOV 5, 1993</t>
  </si>
  <si>
    <t>MAY 13, 1994</t>
  </si>
  <si>
    <t>Date of earning income</t>
  </si>
  <si>
    <t>OCT 1, 1995-SEP 30, 2003</t>
  </si>
  <si>
    <t>JAN 1, 1997-DEC 31, 2004</t>
  </si>
  <si>
    <t>Promoted Rights and Privileges</t>
  </si>
  <si>
    <t>1.</t>
  </si>
  <si>
    <t xml:space="preserve">Exemption on corporate income tax from net profit for </t>
  </si>
  <si>
    <t>8 years</t>
  </si>
  <si>
    <t>2.</t>
  </si>
  <si>
    <t xml:space="preserve">Exemption on income tax for dividend derived from the </t>
  </si>
  <si>
    <t xml:space="preserve">promoted business according to no. 1 during the period </t>
  </si>
  <si>
    <t>3.</t>
  </si>
  <si>
    <t xml:space="preserve">Reduction on corporate income tax from the net profit </t>
  </si>
  <si>
    <t xml:space="preserve">derived from the investment at 50% of  normal  rate  </t>
  </si>
  <si>
    <t>4.</t>
  </si>
  <si>
    <t xml:space="preserve">Deduction the cost of construction of infrastructural </t>
  </si>
  <si>
    <t>facilities except from normal depreciation.</t>
  </si>
  <si>
    <t>5.</t>
  </si>
  <si>
    <t xml:space="preserve">           25% to 18% and the Company had no significantly influence, thus, has reclassified such investment in associated </t>
  </si>
  <si>
    <t xml:space="preserve">           company  to  be  other  investment  in  related  parties  from  using  the  equity  method  to  be  cost  method  as  at </t>
  </si>
  <si>
    <t xml:space="preserve">           September 30, 2009 onwards.</t>
  </si>
  <si>
    <t xml:space="preserve">Reduction of public utility  (electricity, water supply, </t>
  </si>
  <si>
    <t>transportation) double of annual expenses.</t>
  </si>
  <si>
    <t xml:space="preserve">Except from rights and privileges, the Company must comply under the condition and regulation of the promoted </t>
  </si>
  <si>
    <t xml:space="preserve">       investment.</t>
  </si>
  <si>
    <t xml:space="preserve">                 Significant accounting policies, recognition of measurement of each items of assets and liabilities are disclosed </t>
  </si>
  <si>
    <t xml:space="preserve">       in note no. 4.</t>
  </si>
  <si>
    <t xml:space="preserve">                 The Company has no policy to hold financial instruments for speculation and trading.</t>
  </si>
  <si>
    <t xml:space="preserve">                 The  interest rate  risk arises from  the  fluctuation of the market  rate  which  affected  the  results of operation  </t>
  </si>
  <si>
    <t xml:space="preserve">       and  cash  flows.    </t>
  </si>
  <si>
    <t xml:space="preserve"> - 39 -</t>
  </si>
  <si>
    <t>Unit : Million Baht</t>
  </si>
  <si>
    <t xml:space="preserve">Floating </t>
  </si>
  <si>
    <t>Fixed</t>
  </si>
  <si>
    <t>Non-interest</t>
  </si>
  <si>
    <t>rate</t>
  </si>
  <si>
    <t xml:space="preserve">        Financial assets</t>
  </si>
  <si>
    <t>Cash and cash equivalents</t>
  </si>
  <si>
    <t>Short-term loans</t>
  </si>
  <si>
    <t xml:space="preserve">        Financial liabilities</t>
  </si>
  <si>
    <t>Overdrafts and loans from financial institutions</t>
  </si>
  <si>
    <t>Long - term loans</t>
  </si>
  <si>
    <t>Long - term loans from related persons</t>
  </si>
  <si>
    <t>At call</t>
  </si>
  <si>
    <t>Within</t>
  </si>
  <si>
    <t>Over</t>
  </si>
  <si>
    <t>Interest rate</t>
  </si>
  <si>
    <t>12 months</t>
  </si>
  <si>
    <t>0.25%</t>
  </si>
  <si>
    <t>3.90-10.75%</t>
  </si>
  <si>
    <t xml:space="preserve"> - 40 -</t>
  </si>
  <si>
    <t xml:space="preserve">          The Company has policy to give credit facilities cautiously  and  most of  the  debtors have a long time dealt </t>
  </si>
  <si>
    <t>with the Company, so no significant loss from debt collection is expected.</t>
  </si>
  <si>
    <t xml:space="preserve">          The Company  has  a  lowly risk  from  the  fluctuation  in  foreign currencies exchange rate in its business of  </t>
  </si>
  <si>
    <t xml:space="preserve">royalties,  loans  from oversea  in which  the Company  has not  made the forward exchange contracts for hedging  </t>
  </si>
  <si>
    <t>such  exchange rate risk.</t>
  </si>
  <si>
    <t>F  Shareholders or directors are intimate of the Company's directors</t>
  </si>
  <si>
    <t xml:space="preserve">          Most of  financial  assets are short - term  assets and loans bear the  market  interest  rate. The book value of  </t>
  </si>
  <si>
    <t xml:space="preserve">financial assets and  liabilities are close to their fair value. The management believes that  there is no material risk  </t>
  </si>
  <si>
    <t>financial instruments.</t>
  </si>
  <si>
    <t xml:space="preserve">      These  financial  statements  have  been  approved  to  be  issued  by  the Company's  Board of directors  on </t>
  </si>
  <si>
    <t xml:space="preserve">                            expense  according  to  the contract  and  the  users  have  to  guarantee  to  the  Company  for  electricity  used </t>
  </si>
  <si>
    <t xml:space="preserve">                            according to the size of  transformer, charging  in amount of  Baht 400.00 per 1 KVA. </t>
  </si>
  <si>
    <t xml:space="preserve">     Associated companies:</t>
  </si>
  <si>
    <t xml:space="preserve">     - ERAWAN TEXTILE CO., LTD.</t>
  </si>
  <si>
    <t xml:space="preserve">                     As at June 30, 2008 and December 31, 2007 the Company has commitment  lines of Baht 661.30 million and  Baht </t>
  </si>
  <si>
    <t xml:space="preserve">The Compnay will  charge the fee from guarantee at  the rate of 0.5 - 1%  of facility value  by collecting at the rate of 0.5% </t>
  </si>
  <si>
    <t xml:space="preserve">     from the company  who paid the business advisory services and also collected at 1% from the company who had  not paid the </t>
  </si>
  <si>
    <t xml:space="preserve">     business advisory services, except  the company  who jointed-investment  with an overseas company,  the Company will not </t>
  </si>
  <si>
    <t xml:space="preserve">     collect the guarantee fee.</t>
  </si>
  <si>
    <t xml:space="preserve">                     D  Loan given by the Company</t>
  </si>
  <si>
    <t xml:space="preserve">                     E  Inter - company trading </t>
  </si>
  <si>
    <t xml:space="preserve">     carrying value and fair value are shown as unrealized gain (loss) from change in value of investment  in  shareholders' </t>
  </si>
  <si>
    <t xml:space="preserve">     shown as uneralized gain (loss) from change in value of investment in shareholders' equity.</t>
  </si>
  <si>
    <t xml:space="preserve">     into Baht by using exchange rate as at the end of  the  period.   The  difference  of  carrying  value  and  fair  value are </t>
  </si>
  <si>
    <t xml:space="preserve">     transaction date.</t>
  </si>
  <si>
    <t xml:space="preserve">     at cost  less  provision  for  impairment  of  investment,  converting  into  Baht  by  using  the  exchang  rate  as  at  the </t>
  </si>
  <si>
    <t xml:space="preserve">     9.2  Investments in company limited </t>
  </si>
  <si>
    <t xml:space="preserve">     land development cost.</t>
  </si>
  <si>
    <t xml:space="preserve">     the Company  will  recognize  as  impairment  loss  in  the  statements of  income  for  the  period.  The  Company  will  </t>
  </si>
  <si>
    <t xml:space="preserve">     reverse  the  impairment  loss  whenever  there is  an  indication  that  there  is  no  longer  impairment  or  reduction  in  </t>
  </si>
  <si>
    <t xml:space="preserve">     impairment  which is shown in statements of income.</t>
  </si>
  <si>
    <t xml:space="preserve">              Provision  for  impairment  of  assets  represented  the carrying amount of an asset exceeds its  recoverable value, </t>
  </si>
  <si>
    <t xml:space="preserve">     Company settles the obligation. The amount recognized should not exceed the amount of the provision.</t>
  </si>
  <si>
    <t xml:space="preserve">                PANYA PARK CO., LTD.)  </t>
  </si>
  <si>
    <t>LION CORPORATION (JAPAN)</t>
  </si>
  <si>
    <t>5 years</t>
  </si>
  <si>
    <t>10 years</t>
  </si>
  <si>
    <t xml:space="preserve">             The Company  records  its  transactions  in  foreign  currencies converting into Thai  Baht  by  using  the exchange </t>
  </si>
  <si>
    <t xml:space="preserve">             Cost of  land  development are stated at cost which including expenses and  interest for the  project are shown in </t>
  </si>
  <si>
    <t xml:space="preserve">             Leasehold right is stated at net cost from amortization on a period of the lease.</t>
  </si>
  <si>
    <t xml:space="preserve">     to this registered provident fund.  </t>
  </si>
  <si>
    <t xml:space="preserve">     determined  by  dividing  the  net profit  (loss) for  the year by the number of common  share  outstanding   at  the  end  of </t>
  </si>
  <si>
    <t xml:space="preserve">     the year.</t>
  </si>
  <si>
    <t xml:space="preserve">               PITAKKIJ CO., LTD.</t>
  </si>
  <si>
    <t>A,B,C,D,E</t>
  </si>
  <si>
    <t xml:space="preserve">                Note :-  Relationship</t>
  </si>
  <si>
    <t xml:space="preserve">                              A  Shareholding by the Company</t>
  </si>
  <si>
    <t xml:space="preserve">                              B  Directorship</t>
  </si>
  <si>
    <t xml:space="preserve">                              C  Guaranteed by the Company</t>
  </si>
  <si>
    <t xml:space="preserve">                              D  Loan given by the Company</t>
  </si>
  <si>
    <t xml:space="preserve">                              E  Inter - company trading</t>
  </si>
  <si>
    <t xml:space="preserve">      10.1  Investment in securities available for sales</t>
  </si>
  <si>
    <t>- 11 -</t>
  </si>
  <si>
    <t>- 13 -</t>
  </si>
  <si>
    <t xml:space="preserve">              The Company has a policy to revalue land and cost of development land every 5 years.</t>
  </si>
  <si>
    <t xml:space="preserve">                   Total</t>
  </si>
  <si>
    <t xml:space="preserve">      appraiser to value the impairment of the project. Total appraised fair value of Kabinburi project is Baht  41.69 million, Ratchaburi </t>
  </si>
  <si>
    <t xml:space="preserve">      project is Baht  0.45 million and Sriracha project  is Baht  5.36 million.</t>
  </si>
  <si>
    <t xml:space="preserve">     1.3  These financial statements have been prepared under the historical cost convention, except as transaction disclosed </t>
  </si>
  <si>
    <t xml:space="preserve">            in related accounting policies.</t>
  </si>
  <si>
    <t xml:space="preserve">     1994 with registration no. 0107537001340 which is located at 757/10 Soi Pradoo 1, Sathupradit Road, Bangpongpang,</t>
  </si>
  <si>
    <t xml:space="preserve">     over those policies. Investment in associated companies are carried at net cost of provision for impairment of investment</t>
  </si>
  <si>
    <t xml:space="preserve">     in the separated financial statements  and included  share  of  profit  or  loss  of  associated  companies  under  the  equity </t>
  </si>
  <si>
    <t xml:space="preserve">              Land was stated at cost less reserve for loss from impairment of the asset (if any).  Building and equipment were stated </t>
  </si>
  <si>
    <t xml:space="preserve">     method  in the financial statements in  which the equity method  is applied  and  recognized  share  of loss  of  associated </t>
  </si>
  <si>
    <t xml:space="preserve">     satisfy obligations of associated companies.</t>
  </si>
  <si>
    <t xml:space="preserve">     4.18 Basic earnings per share</t>
  </si>
  <si>
    <t xml:space="preserve">     4.19 Related persons and parties</t>
  </si>
  <si>
    <t xml:space="preserve">     4.17 Income tax</t>
  </si>
  <si>
    <t xml:space="preserve">             The Company records corporate income tax to be paid as expenses in each period and calculated income tax on the</t>
  </si>
  <si>
    <t xml:space="preserve">     4.20 Use of accounting estimates</t>
  </si>
  <si>
    <t xml:space="preserve">     4.21 Provision of liabilities</t>
  </si>
  <si>
    <t xml:space="preserve">                 The Company has not proceeded  the  construction  of  building  to  be  conformed  to  the  contract, resulted as </t>
  </si>
  <si>
    <t>For the year ended December 31, 2009 and  2008,  cost  of  electricity  and  steam of Baht 1,215.42 million  and</t>
  </si>
  <si>
    <t xml:space="preserve">     Baht  1,245.76 million,  respectively  were paid  to Saha Cogen (Chonburi) Public Company Limited, a related company</t>
  </si>
  <si>
    <t xml:space="preserve">     (Formerly named ASPO COMP </t>
  </si>
  <si>
    <t>As at December 31, 2009 and 2008, the Company has receivables from loans to one receivable of Baht 5,000,000.00 as follows:</t>
  </si>
  <si>
    <t xml:space="preserve">As at December 31, 2009  and 2008,  the Company  has other  payables  from 8  related  companies and  persons of Baht </t>
  </si>
  <si>
    <t>KEWPIE (THAILAND)</t>
  </si>
  <si>
    <t xml:space="preserve">      CO., LTD. </t>
  </si>
  <si>
    <t>57</t>
  </si>
  <si>
    <t>58</t>
  </si>
  <si>
    <t xml:space="preserve">                passed  to pay dividend  from  the results of  operation  for the year 2008 at  Baht 0.20 per share for 494,034,300 shares, </t>
  </si>
  <si>
    <t xml:space="preserve">                amounting to Baht 98,806,860.00 which was paid on May 22, 2009.</t>
  </si>
  <si>
    <t xml:space="preserve">       22.2  According to the resolution of the General Meeting of the shareholders for the year 2008 No. 37 held on April 21, 2008</t>
  </si>
  <si>
    <t>23. LEGAL RESERVE</t>
  </si>
  <si>
    <t xml:space="preserve">               As at December 31, 2009 and 2008, the Company has appropriated part of profit amount of Baht 280.00 million as general </t>
  </si>
  <si>
    <t xml:space="preserve">       reserve without the objectives indication.</t>
  </si>
  <si>
    <t>24. GENERAL RESERVE</t>
  </si>
  <si>
    <t>The significant expenses analyzed by nature are as follows:</t>
  </si>
  <si>
    <t xml:space="preserve">     Cost of electricity </t>
  </si>
  <si>
    <t xml:space="preserve">     Cost of water and steam</t>
  </si>
  <si>
    <t xml:space="preserve">     Employees benefit expenses</t>
  </si>
  <si>
    <t xml:space="preserve">     Depreciation and amortization </t>
  </si>
  <si>
    <t xml:space="preserve">     Premises and equipment expenses</t>
  </si>
  <si>
    <t xml:space="preserve">25. EXPENSES ANALYZED BY NATURE </t>
  </si>
  <si>
    <t xml:space="preserve"> 2009</t>
  </si>
  <si>
    <t xml:space="preserve"> 2008</t>
  </si>
  <si>
    <t xml:space="preserve">               The objective of  financial management of  the Company are  to maintain the continuity of operation capability and capital</t>
  </si>
  <si>
    <t xml:space="preserve">       structure to be properly appropriated.</t>
  </si>
  <si>
    <t>26. CAPITAL MANAGEMENT</t>
  </si>
  <si>
    <t xml:space="preserve">               Directors' remuneration  represents  the  benefits paid to  the Company's  directors in accordance  with Section  90  of the </t>
  </si>
  <si>
    <t>Advertising</t>
  </si>
  <si>
    <t>Rice</t>
  </si>
  <si>
    <t>Chewing gum</t>
  </si>
  <si>
    <t xml:space="preserve"> P.C.B.CENTER CO., LTD. </t>
  </si>
  <si>
    <t>Seasoning</t>
  </si>
  <si>
    <t>Packaging</t>
  </si>
  <si>
    <t>Industrial</t>
  </si>
  <si>
    <t>Park</t>
  </si>
  <si>
    <t xml:space="preserve">Land </t>
  </si>
  <si>
    <t>Sole</t>
  </si>
  <si>
    <t>Spinning, Dyeing</t>
  </si>
  <si>
    <t>Leather shoes</t>
  </si>
  <si>
    <t>Project</t>
  </si>
  <si>
    <t>Leasing</t>
  </si>
  <si>
    <t>Label</t>
  </si>
  <si>
    <t>Auto part</t>
  </si>
  <si>
    <t>Ball</t>
  </si>
  <si>
    <t xml:space="preserve">Consumer </t>
  </si>
  <si>
    <t>Products</t>
  </si>
  <si>
    <t>Plastic</t>
  </si>
  <si>
    <t>Coffee can</t>
  </si>
  <si>
    <t>Insecticide</t>
  </si>
  <si>
    <t>Maintenance</t>
  </si>
  <si>
    <t>Airplane</t>
  </si>
  <si>
    <t>Noodle</t>
  </si>
  <si>
    <t>Broker</t>
  </si>
  <si>
    <t>center</t>
  </si>
  <si>
    <t>Department</t>
  </si>
  <si>
    <t>Bowling</t>
  </si>
  <si>
    <t>and logistic</t>
  </si>
  <si>
    <t xml:space="preserve">28. MANAGEMENT BENEFIT EXPENSE </t>
  </si>
  <si>
    <t>Benefit expenses paid to chief executive officer, the next four executive levels immediately below that chief executive officer</t>
  </si>
  <si>
    <t xml:space="preserve">       Public Limited Company Act, Excluding salaries and related benefits payable to executive director.</t>
  </si>
  <si>
    <t xml:space="preserve">               According to the 38 th General Shareholders' meeting for the year 2009 held on April 27, 2009, pased to pay remuneration </t>
  </si>
  <si>
    <t xml:space="preserve">       to directors in the amount  not exceeding Baht 10.00  million per annum  excluding compensations  or benefits that directors are </t>
  </si>
  <si>
    <t xml:space="preserve">       entitled to receive as employee of the Company.  The allocation is the responsibility of  the Board of directors.  This transaction </t>
  </si>
  <si>
    <t xml:space="preserve">       is recorded in expenses account. </t>
  </si>
  <si>
    <t>27. DIRECTORS' REMUNERATION</t>
  </si>
  <si>
    <t xml:space="preserve">                 separate financial statements as at December 31, 2009 and 2008 as follows :</t>
  </si>
  <si>
    <t>Embroidery</t>
  </si>
  <si>
    <t>Men's inner</t>
  </si>
  <si>
    <t>Milk</t>
  </si>
  <si>
    <t xml:space="preserve">Store </t>
  </si>
  <si>
    <t xml:space="preserve">       agreements and 1 agreement in Lumphun and Kabinburi project, total 6 agreements at the value of to buy and to sell contract amount</t>
  </si>
  <si>
    <t xml:space="preserve">Cost </t>
  </si>
  <si>
    <t xml:space="preserve">                            and  Baht  3,247,080.00,  respectively  and guarantee  the unfiltered water usage with  East - Water Resources </t>
  </si>
  <si>
    <t xml:space="preserve">                            to Metropolitan   Electricity  Authority and Provincial  Electricity  Authority in the amount of Baht 3,114,000.00</t>
  </si>
  <si>
    <t xml:space="preserve">                            Development  and  Management  Public  Company  Limited   in  the  amount  of  Baht  and  Baht  1,741,000.00</t>
  </si>
  <si>
    <t xml:space="preserve">                                     As at December 31, 2009 there were 56 electricity users of which 46 users guaranteed  electricity  usage </t>
  </si>
  <si>
    <t xml:space="preserve">                            by commercial banks of  Baht  96,454,000.00 and  the 6 users guaranteed  electricity  usage  by  cash  of  Baht </t>
  </si>
  <si>
    <t xml:space="preserve">                            822,000.00 and the remaining 4 users guaranteed by commercial bank and cash of Baht 10,130,000.00.</t>
  </si>
  <si>
    <t xml:space="preserve">                                     As at  December 31, 2008 there were 58 electricity  users of which 48 users guaranteed electricity usage </t>
  </si>
  <si>
    <t xml:space="preserve">                            by commercial  bank of Baht 54,221,000.00  and  the 7  users guaranteed  electricity  usage  by  cash of  Baht </t>
  </si>
  <si>
    <t xml:space="preserve">              (FORMERLY NAMED ASPO COMP </t>
  </si>
  <si>
    <t xml:space="preserve">              (THAILAND) CO., LTD).</t>
  </si>
  <si>
    <t xml:space="preserve">As at  December 31, 2009 and 2008,  the Company has guarantee facility  in the amount of Baht  166.50 million and Baht </t>
  </si>
  <si>
    <t xml:space="preserve">     656.30 million which was spent in the amount of Baht 13.91 million and Baht 151.26 million, respectively.</t>
  </si>
  <si>
    <t xml:space="preserve">           F  Shareholders or directors are intimate of the Company's directors</t>
  </si>
  <si>
    <t xml:space="preserve">                applied for the year ended December 31, 2009 and 2008 as follows :</t>
  </si>
  <si>
    <t xml:space="preserve">                December 31, 2009 and 2008 as follows :</t>
  </si>
  <si>
    <t xml:space="preserve">     Net profit </t>
  </si>
  <si>
    <t xml:space="preserve">     Net profit  </t>
  </si>
  <si>
    <t>As at December 31, 2009 and 2008, the significant  transaction with related parties are as follows :</t>
  </si>
  <si>
    <t xml:space="preserve">For  the year ended  December 31, 2009  and  2008,  electricity  and  steam  income  were  derived  from  related </t>
  </si>
  <si>
    <t xml:space="preserve">      2.2  The Company operates in business of investment, rental and services and industrial park (real estate business).</t>
  </si>
  <si>
    <t>62</t>
  </si>
  <si>
    <t>63</t>
  </si>
  <si>
    <t xml:space="preserve">Electricity for Water filtration </t>
  </si>
  <si>
    <t xml:space="preserve">       and water treatment</t>
  </si>
  <si>
    <t>Land development expenses</t>
  </si>
  <si>
    <t xml:space="preserve">Cost of services and development </t>
  </si>
  <si>
    <t>Cost of  sale immovable</t>
  </si>
  <si>
    <t>termination on rights and privilegse</t>
  </si>
  <si>
    <t xml:space="preserve">            Associates"  required  the  Company  who  invested  in  associates,  but  has  not  invested in subsidiaries to present </t>
  </si>
  <si>
    <t xml:space="preserve"> - 19 -</t>
  </si>
  <si>
    <t xml:space="preserve">     1.2  According to  the Notification of  the Federation  of Accounting Professions no. 26/2549 and 32/2549  dated October </t>
  </si>
  <si>
    <t xml:space="preserve">            additional from  the presentation of financial statements  of  which  the  equity  method  is  applied by  presenting the </t>
  </si>
  <si>
    <t xml:space="preserve">            separate financial  statements in  which  changed  the  accounting  policy  for  investment  in associates from equity </t>
  </si>
  <si>
    <t xml:space="preserve">     4.3  Revenues  from  sales of  property  under   installments  contract   are  recognized  as  revenue  by  the installment </t>
  </si>
  <si>
    <t xml:space="preserve">             Earning  (Loss)  per share  presented   in  the  statements of  income is the basic earnings  (loss) per share which  is</t>
  </si>
  <si>
    <t xml:space="preserve">             Preparation  of   financial  statements  in  conformity  with  generally  accepted  accounting principles  required  the </t>
  </si>
  <si>
    <t xml:space="preserve">             The Company recognized a provision  for liabilities when an entity has a present legal or constructive obligation as</t>
  </si>
  <si>
    <t xml:space="preserve">     to settle a provision,  is expected to be reimbursed  when it is virtually certain that reimbursement will be received if the </t>
  </si>
  <si>
    <t xml:space="preserve">     obligation and reliable estimate can  be made of  the amount of  the obligation. If some or all  the expenditure is required </t>
  </si>
  <si>
    <t>Percentage of investment</t>
  </si>
  <si>
    <t xml:space="preserve">9.3.2  Fair value of investment  in associated companies (only associated  companies  in  which  the equity securities </t>
  </si>
  <si>
    <t>TOYO TEXTILE THAI  CO., LTD.</t>
  </si>
  <si>
    <t>MOLTEN (THAILAND)  CO., LTD.</t>
  </si>
  <si>
    <t>SAHA SEHWA CO., LTD.</t>
  </si>
  <si>
    <t>SUNLOTS ENTERPRISE</t>
  </si>
  <si>
    <t>29.  COMMITMENT AND CONTINGENT LIABILITIES  (Continued)</t>
  </si>
  <si>
    <t xml:space="preserve">        29.2  The Company has commitment lines with banks,  financial  institutions and  other  companies  for  its  related  parties</t>
  </si>
  <si>
    <t>30.  SEGMENT FINANCIAL INFORMATION</t>
  </si>
  <si>
    <t xml:space="preserve">       30.1  Financial information is classified by investment and others, rent and services and industrial park project in the financial statements in which the equity method is </t>
  </si>
  <si>
    <t>30. SEGMENT FINANCIAL INFORMATION (Continued)</t>
  </si>
  <si>
    <t xml:space="preserve">       30.2  Financial information is classified by investment and others, rent and services and industrial park project in the separate financial statements for the year ended </t>
  </si>
  <si>
    <t>31. TRANSACTION WITH RELATED PARTIES</t>
  </si>
  <si>
    <t>31. TRANSACTION WITH RELATED PARTIES (Continued)</t>
  </si>
  <si>
    <t xml:space="preserve">     companies of Baht  1,033.05  million and  Baht 1,016.73 million, respectively  and received  from  other companies of Baht</t>
  </si>
  <si>
    <t xml:space="preserve">     187.72  million  and  Baht  233.59  million,  respectively  totalling  Baht  1,220.77  million  and  Baht  1,250.32  million, </t>
  </si>
  <si>
    <t xml:space="preserve">      31.1  ACCRUED INCOME</t>
  </si>
  <si>
    <t xml:space="preserve">As at  December  31, 2009  and  2008, the Company has accrued income from 68 related  parties  tolalling  Baht </t>
  </si>
  <si>
    <t xml:space="preserve">       167,594,041.33   and   66  related  parties  of  Baht 130,897,450.48 respectively.  The  transaction  which  have value</t>
  </si>
  <si>
    <t xml:space="preserve">       over than Baht 500,000.00 are equal to 97.69% and 97.11% of total accrued income as detailed following :</t>
  </si>
  <si>
    <t xml:space="preserve">      31.1  ACCRUED INCOME (Continued)</t>
  </si>
  <si>
    <t xml:space="preserve">       31.2   RECEIVABLES AND LOANS</t>
  </si>
  <si>
    <t xml:space="preserve">       31.3   OTHER PAYABLES AND ACCRUED INTEREST</t>
  </si>
  <si>
    <t xml:space="preserve">      31.4  ACCRUED EXPENSES AND UNEARNED REVENUE</t>
  </si>
  <si>
    <t>As at December 31, 2009 and 2008, the Company has accrued expense and unearned revenues of Baht 130,298,587.62 and</t>
  </si>
  <si>
    <t xml:space="preserve">       Baht  500,000.00  are  equal  to  98.36%  and  97.97%  of   total  accrued  expenses and unearned revenues as detailed following:</t>
  </si>
  <si>
    <t xml:space="preserve">      31.5  REVENUES</t>
  </si>
  <si>
    <t xml:space="preserve">              Intangible  assets  consist of trademark and golf  membership  are  amortized  within  the period  of  10 years.</t>
  </si>
  <si>
    <t xml:space="preserve">     Other  deferred  expenses are  amortized within the period of  5 years.   </t>
  </si>
  <si>
    <t xml:space="preserve">              As at December 31, 2008 , the Company  has commitment under contract to buy  and to  sell  of assets  in Sriracha project for 4</t>
  </si>
  <si>
    <t>1.75-10.75%</t>
  </si>
  <si>
    <t xml:space="preserve">            Y 30,000</t>
  </si>
  <si>
    <t xml:space="preserve">           Y 30,000</t>
  </si>
  <si>
    <t xml:space="preserve">            companies  had  investment  value of   Baht  1,884.89 million  and Baht  1,764.24 million equal to 13.66% and 13.54% </t>
  </si>
  <si>
    <t xml:space="preserve">            of  total assets and share of  profit  from investments of  Baht  154.41 million and  Baht 224.99 million equal  to 15.39%  </t>
  </si>
  <si>
    <t xml:space="preserve">             0.40%  and  0.85%  of  total  assets and  share  of   loss  from   investments  of   Baht 0.93  million   and  share of profit </t>
  </si>
  <si>
    <t xml:space="preserve">             unaudited   financial  statements  which  had  the   amount  of  Baht   55.22  million and  Baht  110.34 million equal  to </t>
  </si>
  <si>
    <t xml:space="preserve">            and  24.36% of  net  profit  of  each  year,  and  investments in  2  and  5  associated  companies  were  recorded  from   </t>
  </si>
  <si>
    <t xml:space="preserve">           Baht 15.91 million equal  to 0.09%  and 1.72% of  net  profit  of  each  year,  respectively.  In  addition,  investments in  </t>
  </si>
  <si>
    <t xml:space="preserve">           those  16  and  17 associated  companies did  not comply  with  the certain Accounting  Standards  which  have  been</t>
  </si>
  <si>
    <t xml:space="preserve">           temporarily   exempted  in  conformity   with  the   Notification   no. 21/2550 dated   July  20, 2007  of   the  Federation</t>
  </si>
  <si>
    <t xml:space="preserve">           of  Accounting   Professions   required  to  exempt  the  Accounting   Standards  for  the  non-public  company  limited </t>
  </si>
  <si>
    <t xml:space="preserve">           which  the  Company    was   unable   to  make  adjustments  of  effects  to  investments  in  associated  companies  as </t>
  </si>
  <si>
    <t xml:space="preserve">             if   those  companies  had  complied  with  all   Accounting   Standards   for  the financial  statements    in  which  the   </t>
  </si>
  <si>
    <r>
      <t xml:space="preserve">     </t>
    </r>
    <r>
      <rPr>
        <sz val="16"/>
        <rFont val="Angsana New"/>
        <family val="1"/>
      </rPr>
      <t xml:space="preserve">9.3  Supplemental information of associated companies </t>
    </r>
  </si>
  <si>
    <t xml:space="preserve">       companies, respectively in the amount of Baht 12.92 million and Baht 50.42 million, respectively.</t>
  </si>
  <si>
    <t xml:space="preserve">                As  at  December  31, 2009 and 2008  the  Company  has  contingent  liabilities  on  guarantee  loans  of  2  and  3  related </t>
  </si>
  <si>
    <t xml:space="preserve">              As at December 31, 2009 and 2008,  the Company has changed new 4 bills of promissory notes amount of Baht 200.00 </t>
  </si>
  <si>
    <t xml:space="preserve">        million  instead  of  the matured  promissory notes.  The  new promissory notes will mature in two years on February 1 and </t>
  </si>
  <si>
    <t xml:space="preserve">        18, 2010  at the interest rate of 4.50% per annum. </t>
  </si>
  <si>
    <t xml:space="preserve">         ending on January 30, 2012.</t>
  </si>
  <si>
    <t xml:space="preserve">         semi - annually  installments amount to  5 period  amount  of Baht  60 million each, commencing  on January 29, 2010 and </t>
  </si>
  <si>
    <t xml:space="preserve">         interest rate of MLR - 1.75% per annum  which will be paid on monthly basis.  The principal  repayment  will  be  made 6 </t>
  </si>
  <si>
    <t xml:space="preserve">                In  2009,  the Company  has  signed  loan  agreement  with  a commercial bank amount of  Baht  300.00  million at the </t>
  </si>
  <si>
    <t xml:space="preserve">        million, respectively at the interest  rate of 1.75 - 2.00% per annum. (as at December 31, 2008, interest rate of 3.90 - 5.22 % </t>
  </si>
  <si>
    <t xml:space="preserve">        per annum).</t>
  </si>
  <si>
    <t xml:space="preserve">        Baht 1,650 million and Baht 1,550 million,  respectively and from 4 and  5 foreign  banks  of Baht  841 million and Baht  991 </t>
  </si>
  <si>
    <t xml:space="preserve">                As at  December 31, 2009 and  2008,  the Company  has loans from  8 local banks  and financial institutions amount of </t>
  </si>
  <si>
    <t xml:space="preserve">                 As  at  December 31, 2009  and  2008,  the  Company  has  overdrafts  facilities with  11  banks  amount  of  Baht 200</t>
  </si>
  <si>
    <t xml:space="preserve"> - 26 -</t>
  </si>
  <si>
    <t>- 28 -</t>
  </si>
  <si>
    <t xml:space="preserve"> - 35 -</t>
  </si>
</sst>
</file>

<file path=xl/styles.xml><?xml version="1.0" encoding="utf-8"?>
<styleSheet xmlns="http://schemas.openxmlformats.org/spreadsheetml/2006/main">
  <numFmts count="5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#,##0_);[Red]\(#,##0.00\)"/>
    <numFmt numFmtId="200" formatCode="#,##0.00_);[Black]\(#,##0.00\)\ "/>
    <numFmt numFmtId="201" formatCode="#,##0_);[Black]\(#,##0\)"/>
    <numFmt numFmtId="202" formatCode="#,##0.00;\(#,##0.00\)"/>
    <numFmt numFmtId="203" formatCode="#,##0\);\(#,##0\)"/>
    <numFmt numFmtId="204" formatCode="#,##0\ ;[Red]\(#,##0\)"/>
    <numFmt numFmtId="205" formatCode="#,##0.00\ ;[Red]\(#,##0.00\)"/>
    <numFmt numFmtId="206" formatCode="#,##0.00_);[Red]\(#,##0.0\)"/>
    <numFmt numFmtId="207" formatCode="#,##0.00\ ;\(#,##0.00\)"/>
    <numFmt numFmtId="208" formatCode="#,##0.00_);[Blue]\(#,##0.00\)"/>
    <numFmt numFmtId="209" formatCode="#,##0_);[Blue]\(#,##0\)"/>
    <numFmt numFmtId="210" formatCode="##,##0.00_);\(#,##0.00\)"/>
    <numFmt numFmtId="211" formatCode="_-* #,##0_-;\-* #,##0_-;_-* &quot;-&quot;??_-;_-@_-"/>
    <numFmt numFmtId="212" formatCode="d\ ดดดด\ bbbb"/>
    <numFmt numFmtId="213" formatCode="#,##0.00_);\(#,##0.0000\)"/>
    <numFmt numFmtId="214" formatCode="##,##0_);\(#,##0\)"/>
    <numFmt numFmtId="215" formatCode="#,##0_);\(#,###\)"/>
    <numFmt numFmtId="216" formatCode="#,##0_);\(#,##0.00\)"/>
    <numFmt numFmtId="217" formatCode="0.00\ "/>
    <numFmt numFmtId="218" formatCode="#,##0.00_ ;\-#,##0.00\ "/>
    <numFmt numFmtId="219" formatCode="\(#,##0.00\)"/>
    <numFmt numFmtId="220" formatCode="_-* #,##0.000_-;\-* #,##0.000_-;_-* &quot;-&quot;??_-;_-@_-"/>
    <numFmt numFmtId="221" formatCode="_-* #,##0.0000_-;\-* #,##0.0000_-;_-* &quot;-&quot;??_-;_-@_-"/>
    <numFmt numFmtId="222" formatCode="#,##0.00_);[Red]\(#,##0.0000\)"/>
    <numFmt numFmtId="223" formatCode="###0.00_);[Red]\(###0.00\)"/>
    <numFmt numFmtId="224" formatCode="[$-101041E]d\ mmmm\ yyyy;@"/>
  </numFmts>
  <fonts count="47">
    <font>
      <sz val="14"/>
      <name val="Cordia New"/>
      <family val="0"/>
    </font>
    <font>
      <sz val="12"/>
      <name val="Helv"/>
      <family val="0"/>
    </font>
    <font>
      <sz val="16"/>
      <name val="AngsanaUPC"/>
      <family val="1"/>
    </font>
    <font>
      <b/>
      <sz val="16"/>
      <name val="AngsanaUPC"/>
      <family val="1"/>
    </font>
    <font>
      <sz val="16"/>
      <color indexed="15"/>
      <name val="AngsanaUPC"/>
      <family val="1"/>
    </font>
    <font>
      <u val="single"/>
      <sz val="16"/>
      <name val="AngsanaUPC"/>
      <family val="1"/>
    </font>
    <font>
      <sz val="16"/>
      <name val="Cordia New"/>
      <family val="0"/>
    </font>
    <font>
      <sz val="14"/>
      <name val="AngsanaUPC"/>
      <family val="1"/>
    </font>
    <font>
      <b/>
      <sz val="14"/>
      <name val="AngsanaUPC"/>
      <family val="1"/>
    </font>
    <font>
      <sz val="12"/>
      <name val="AngsanaUPC"/>
      <family val="1"/>
    </font>
    <font>
      <sz val="14"/>
      <name val="Angsana New"/>
      <family val="1"/>
    </font>
    <font>
      <b/>
      <sz val="12"/>
      <name val="AngsanaUPC"/>
      <family val="1"/>
    </font>
    <font>
      <sz val="11"/>
      <name val="AngsanaUPC"/>
      <family val="1"/>
    </font>
    <font>
      <b/>
      <sz val="13"/>
      <name val="AngsanaUPC"/>
      <family val="1"/>
    </font>
    <font>
      <sz val="13"/>
      <name val="AngsanaUPC"/>
      <family val="1"/>
    </font>
    <font>
      <u val="single"/>
      <sz val="13.3"/>
      <color indexed="12"/>
      <name val="Cordia New"/>
      <family val="0"/>
    </font>
    <font>
      <u val="single"/>
      <sz val="13.3"/>
      <color indexed="36"/>
      <name val="Cordia New"/>
      <family val="0"/>
    </font>
    <font>
      <sz val="14.5"/>
      <name val="AngsanaUPC"/>
      <family val="1"/>
    </font>
    <font>
      <sz val="8"/>
      <name val="Cordia New"/>
      <family val="0"/>
    </font>
    <font>
      <sz val="12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0"/>
      <name val="Arial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62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AngsanaUPC"/>
      <family val="1"/>
    </font>
    <font>
      <sz val="15"/>
      <name val="AngsanaUPC"/>
      <family val="1"/>
    </font>
    <font>
      <sz val="10"/>
      <name val="AngsanaUPC"/>
      <family val="1"/>
    </font>
    <font>
      <b/>
      <sz val="15"/>
      <name val="AngsanaUPC"/>
      <family val="1"/>
    </font>
    <font>
      <sz val="15"/>
      <name val="Angsana New"/>
      <family val="1"/>
    </font>
    <font>
      <b/>
      <sz val="16"/>
      <color indexed="8"/>
      <name val="AngsanaUPC"/>
      <family val="1"/>
    </font>
    <font>
      <sz val="14"/>
      <color indexed="8"/>
      <name val="AngsanaUPC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1" applyNumberFormat="0" applyAlignment="0" applyProtection="0"/>
    <xf numFmtId="0" fontId="26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191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7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36" fillId="15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39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86">
    <xf numFmtId="0" fontId="0" fillId="0" borderId="0" xfId="0" applyAlignment="1">
      <alignment/>
    </xf>
    <xf numFmtId="40" fontId="2" fillId="0" borderId="0" xfId="0" applyNumberFormat="1" applyFont="1" applyAlignment="1">
      <alignment/>
    </xf>
    <xf numFmtId="40" fontId="3" fillId="0" borderId="0" xfId="0" applyNumberFormat="1" applyFont="1" applyAlignment="1">
      <alignment/>
    </xf>
    <xf numFmtId="40" fontId="2" fillId="0" borderId="0" xfId="42" applyNumberFormat="1" applyFont="1" applyAlignment="1">
      <alignment/>
    </xf>
    <xf numFmtId="40" fontId="2" fillId="0" borderId="0" xfId="93" applyNumberFormat="1" applyFont="1" applyAlignment="1">
      <alignment/>
      <protection/>
    </xf>
    <xf numFmtId="40" fontId="3" fillId="0" borderId="0" xfId="93" applyNumberFormat="1" applyFont="1" applyAlignment="1">
      <alignment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3" fontId="2" fillId="0" borderId="0" xfId="42" applyFont="1" applyAlignment="1">
      <alignment/>
    </xf>
    <xf numFmtId="4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/>
    </xf>
    <xf numFmtId="40" fontId="2" fillId="0" borderId="0" xfId="42" applyNumberFormat="1" applyFont="1" applyAlignment="1" applyProtection="1" quotePrefix="1">
      <alignment/>
      <protection/>
    </xf>
    <xf numFmtId="0" fontId="2" fillId="0" borderId="0" xfId="42" applyNumberFormat="1" applyFont="1" applyAlignment="1" applyProtection="1" quotePrefix="1">
      <alignment/>
      <protection/>
    </xf>
    <xf numFmtId="40" fontId="2" fillId="0" borderId="0" xfId="0" applyNumberFormat="1" applyFont="1" applyAlignment="1">
      <alignment/>
    </xf>
    <xf numFmtId="40" fontId="9" fillId="0" borderId="0" xfId="0" applyNumberFormat="1" applyFont="1" applyAlignment="1">
      <alignment/>
    </xf>
    <xf numFmtId="40" fontId="9" fillId="0" borderId="0" xfId="0" applyNumberFormat="1" applyFont="1" applyAlignment="1">
      <alignment/>
    </xf>
    <xf numFmtId="0" fontId="10" fillId="0" borderId="0" xfId="0" applyFont="1" applyBorder="1" applyAlignment="1">
      <alignment horizontal="centerContinuous" vertical="center"/>
    </xf>
    <xf numFmtId="0" fontId="2" fillId="0" borderId="0" xfId="0" applyNumberFormat="1" applyFont="1" applyAlignment="1">
      <alignment horizontal="centerContinuous"/>
    </xf>
    <xf numFmtId="39" fontId="2" fillId="0" borderId="0" xfId="0" applyNumberFormat="1" applyFont="1" applyAlignment="1">
      <alignment/>
    </xf>
    <xf numFmtId="39" fontId="2" fillId="0" borderId="0" xfId="42" applyNumberFormat="1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Alignment="1">
      <alignment/>
    </xf>
    <xf numFmtId="40" fontId="2" fillId="0" borderId="0" xfId="42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206" fontId="2" fillId="0" borderId="0" xfId="93" applyNumberFormat="1" applyFont="1" applyBorder="1" applyAlignment="1" applyProtection="1" quotePrefix="1">
      <alignment horizontal="centerContinuous"/>
      <protection/>
    </xf>
    <xf numFmtId="206" fontId="9" fillId="0" borderId="0" xfId="0" applyNumberFormat="1" applyFont="1" applyAlignment="1">
      <alignment/>
    </xf>
    <xf numFmtId="206" fontId="2" fillId="0" borderId="0" xfId="93" applyNumberFormat="1" applyFont="1" applyBorder="1" applyAlignment="1" applyProtection="1" quotePrefix="1">
      <alignment horizontal="center"/>
      <protection/>
    </xf>
    <xf numFmtId="206" fontId="2" fillId="0" borderId="0" xfId="0" applyNumberFormat="1" applyFont="1" applyAlignment="1">
      <alignment/>
    </xf>
    <xf numFmtId="206" fontId="2" fillId="0" borderId="0" xfId="0" applyNumberFormat="1" applyFont="1" applyAlignment="1">
      <alignment horizontal="center"/>
    </xf>
    <xf numFmtId="206" fontId="2" fillId="0" borderId="0" xfId="0" applyNumberFormat="1" applyFont="1" applyAlignment="1">
      <alignment horizontal="left"/>
    </xf>
    <xf numFmtId="40" fontId="3" fillId="0" borderId="0" xfId="0" applyNumberFormat="1" applyFont="1" applyAlignment="1">
      <alignment horizontal="center"/>
    </xf>
    <xf numFmtId="204" fontId="13" fillId="0" borderId="10" xfId="93" applyNumberFormat="1" applyFont="1" applyFill="1" applyBorder="1" applyAlignment="1">
      <alignment/>
      <protection/>
    </xf>
    <xf numFmtId="204" fontId="13" fillId="0" borderId="10" xfId="93" applyNumberFormat="1" applyFont="1" applyFill="1" applyBorder="1" applyAlignment="1">
      <alignment horizontal="center"/>
      <protection/>
    </xf>
    <xf numFmtId="39" fontId="2" fillId="0" borderId="0" xfId="42" applyNumberFormat="1" applyFont="1" applyAlignment="1" applyProtection="1" quotePrefix="1">
      <alignment/>
      <protection/>
    </xf>
    <xf numFmtId="39" fontId="2" fillId="0" borderId="0" xfId="0" applyNumberFormat="1" applyFont="1" applyAlignment="1">
      <alignment/>
    </xf>
    <xf numFmtId="205" fontId="2" fillId="0" borderId="0" xfId="42" applyNumberFormat="1" applyFont="1" applyAlignment="1">
      <alignment/>
    </xf>
    <xf numFmtId="205" fontId="2" fillId="0" borderId="0" xfId="0" applyNumberFormat="1" applyFont="1" applyAlignment="1">
      <alignment/>
    </xf>
    <xf numFmtId="205" fontId="17" fillId="0" borderId="0" xfId="42" applyNumberFormat="1" applyFont="1" applyAlignment="1">
      <alignment/>
    </xf>
    <xf numFmtId="205" fontId="17" fillId="0" borderId="10" xfId="42" applyNumberFormat="1" applyFont="1" applyBorder="1" applyAlignment="1">
      <alignment/>
    </xf>
    <xf numFmtId="40" fontId="2" fillId="0" borderId="0" xfId="93" applyNumberFormat="1" applyFont="1" applyBorder="1" applyAlignment="1" applyProtection="1" quotePrefix="1">
      <alignment horizontal="center"/>
      <protection/>
    </xf>
    <xf numFmtId="0" fontId="9" fillId="0" borderId="0" xfId="0" applyFont="1" applyFill="1" applyBorder="1" applyAlignment="1">
      <alignment horizontal="left"/>
    </xf>
    <xf numFmtId="208" fontId="9" fillId="0" borderId="0" xfId="0" applyNumberFormat="1" applyFont="1" applyFill="1" applyBorder="1" applyAlignment="1">
      <alignment horizontal="center"/>
    </xf>
    <xf numFmtId="208" fontId="9" fillId="0" borderId="10" xfId="0" applyNumberFormat="1" applyFont="1" applyFill="1" applyBorder="1" applyAlignment="1">
      <alignment horizontal="center"/>
    </xf>
    <xf numFmtId="208" fontId="9" fillId="0" borderId="0" xfId="0" applyNumberFormat="1" applyFont="1" applyFill="1" applyAlignment="1">
      <alignment horizontal="center"/>
    </xf>
    <xf numFmtId="208" fontId="8" fillId="0" borderId="0" xfId="0" applyNumberFormat="1" applyFont="1" applyFill="1" applyAlignment="1">
      <alignment/>
    </xf>
    <xf numFmtId="208" fontId="11" fillId="0" borderId="0" xfId="0" applyNumberFormat="1" applyFont="1" applyFill="1" applyAlignment="1">
      <alignment horizontal="center"/>
    </xf>
    <xf numFmtId="40" fontId="2" fillId="0" borderId="0" xfId="0" applyNumberFormat="1" applyFont="1" applyAlignment="1">
      <alignment horizontal="left"/>
    </xf>
    <xf numFmtId="40" fontId="2" fillId="0" borderId="0" xfId="93" applyNumberFormat="1" applyFont="1" applyFill="1" applyAlignment="1" quotePrefix="1">
      <alignment/>
      <protection/>
    </xf>
    <xf numFmtId="40" fontId="2" fillId="0" borderId="0" xfId="0" applyNumberFormat="1" applyFont="1" applyFill="1" applyAlignment="1">
      <alignment horizontal="center"/>
    </xf>
    <xf numFmtId="40" fontId="2" fillId="0" borderId="0" xfId="93" applyNumberFormat="1" applyFont="1" applyFill="1" applyAlignment="1" applyProtection="1">
      <alignment/>
      <protection/>
    </xf>
    <xf numFmtId="40" fontId="2" fillId="0" borderId="0" xfId="42" applyNumberFormat="1" applyFont="1" applyFill="1" applyAlignment="1">
      <alignment/>
    </xf>
    <xf numFmtId="40" fontId="2" fillId="0" borderId="0" xfId="93" applyNumberFormat="1" applyFont="1" applyFill="1" applyAlignment="1">
      <alignment/>
      <protection/>
    </xf>
    <xf numFmtId="43" fontId="2" fillId="0" borderId="0" xfId="42" applyFont="1" applyAlignment="1" quotePrefix="1">
      <alignment horizontal="center"/>
    </xf>
    <xf numFmtId="39" fontId="2" fillId="0" borderId="0" xfId="42" applyNumberFormat="1" applyFont="1" applyBorder="1" applyAlignment="1">
      <alignment/>
    </xf>
    <xf numFmtId="0" fontId="2" fillId="0" borderId="0" xfId="0" applyFont="1" applyBorder="1" applyAlignment="1">
      <alignment/>
    </xf>
    <xf numFmtId="208" fontId="7" fillId="0" borderId="0" xfId="0" applyNumberFormat="1" applyFont="1" applyFill="1" applyAlignment="1">
      <alignment/>
    </xf>
    <xf numFmtId="39" fontId="3" fillId="0" borderId="0" xfId="93" applyNumberFormat="1" applyFont="1" applyFill="1" applyAlignment="1" applyProtection="1">
      <alignment/>
      <protection/>
    </xf>
    <xf numFmtId="39" fontId="2" fillId="0" borderId="0" xfId="93" applyNumberFormat="1" applyFont="1" applyFill="1" applyAlignment="1" applyProtection="1">
      <alignment/>
      <protection/>
    </xf>
    <xf numFmtId="39" fontId="2" fillId="0" borderId="0" xfId="93" applyNumberFormat="1" applyFont="1" applyFill="1">
      <alignment/>
      <protection/>
    </xf>
    <xf numFmtId="39" fontId="2" fillId="0" borderId="0" xfId="93" applyNumberFormat="1" applyFont="1" applyFill="1" applyAlignment="1" applyProtection="1">
      <alignment horizontal="center"/>
      <protection/>
    </xf>
    <xf numFmtId="39" fontId="2" fillId="0" borderId="0" xfId="0" applyNumberFormat="1" applyFont="1" applyFill="1" applyAlignment="1">
      <alignment/>
    </xf>
    <xf numFmtId="208" fontId="21" fillId="0" borderId="0" xfId="93" applyNumberFormat="1" applyFont="1" applyFill="1" applyAlignment="1" applyProtection="1">
      <alignment horizontal="left"/>
      <protection/>
    </xf>
    <xf numFmtId="208" fontId="20" fillId="0" borderId="0" xfId="0" applyNumberFormat="1" applyFont="1" applyFill="1" applyAlignment="1">
      <alignment/>
    </xf>
    <xf numFmtId="39" fontId="2" fillId="0" borderId="0" xfId="42" applyNumberFormat="1" applyFont="1" applyFill="1" applyAlignment="1">
      <alignment/>
    </xf>
    <xf numFmtId="39" fontId="2" fillId="0" borderId="0" xfId="93" applyNumberFormat="1" applyFont="1" applyFill="1" applyAlignment="1">
      <alignment/>
      <protection/>
    </xf>
    <xf numFmtId="39" fontId="2" fillId="0" borderId="0" xfId="0" applyNumberFormat="1" applyFont="1" applyFill="1" applyBorder="1" applyAlignment="1">
      <alignment/>
    </xf>
    <xf numFmtId="39" fontId="2" fillId="0" borderId="0" xfId="93" applyNumberFormat="1" applyFont="1" applyFill="1" applyAlignment="1">
      <alignment horizontal="center"/>
      <protection/>
    </xf>
    <xf numFmtId="39" fontId="2" fillId="0" borderId="10" xfId="93" applyNumberFormat="1" applyFont="1" applyFill="1" applyBorder="1" applyAlignment="1">
      <alignment horizontal="right"/>
      <protection/>
    </xf>
    <xf numFmtId="39" fontId="3" fillId="0" borderId="0" xfId="0" applyNumberFormat="1" applyFont="1" applyFill="1" applyBorder="1" applyAlignment="1">
      <alignment/>
    </xf>
    <xf numFmtId="39" fontId="6" fillId="0" borderId="0" xfId="0" applyNumberFormat="1" applyFont="1" applyFill="1" applyAlignment="1">
      <alignment/>
    </xf>
    <xf numFmtId="39" fontId="3" fillId="0" borderId="0" xfId="0" applyNumberFormat="1" applyFont="1" applyFill="1" applyAlignment="1">
      <alignment/>
    </xf>
    <xf numFmtId="39" fontId="2" fillId="0" borderId="0" xfId="93" applyNumberFormat="1" applyFont="1" applyFill="1" applyAlignment="1">
      <alignment horizontal="right"/>
      <protection/>
    </xf>
    <xf numFmtId="39" fontId="3" fillId="0" borderId="0" xfId="0" applyNumberFormat="1" applyFont="1" applyFill="1" applyAlignment="1" quotePrefix="1">
      <alignment horizontal="center"/>
    </xf>
    <xf numFmtId="207" fontId="2" fillId="0" borderId="0" xfId="0" applyNumberFormat="1" applyFont="1" applyFill="1" applyAlignment="1">
      <alignment/>
    </xf>
    <xf numFmtId="207" fontId="2" fillId="0" borderId="0" xfId="42" applyNumberFormat="1" applyFont="1" applyFill="1" applyAlignment="1">
      <alignment/>
    </xf>
    <xf numFmtId="207" fontId="2" fillId="0" borderId="0" xfId="42" applyNumberFormat="1" applyFont="1" applyFill="1" applyBorder="1" applyAlignment="1">
      <alignment/>
    </xf>
    <xf numFmtId="207" fontId="2" fillId="0" borderId="0" xfId="0" applyNumberFormat="1" applyFont="1" applyFill="1" applyBorder="1" applyAlignment="1">
      <alignment/>
    </xf>
    <xf numFmtId="207" fontId="6" fillId="0" borderId="0" xfId="0" applyNumberFormat="1" applyFont="1" applyFill="1" applyAlignment="1">
      <alignment/>
    </xf>
    <xf numFmtId="207" fontId="2" fillId="0" borderId="0" xfId="93" applyNumberFormat="1" applyFont="1" applyFill="1" applyAlignment="1">
      <alignment/>
      <protection/>
    </xf>
    <xf numFmtId="207" fontId="2" fillId="0" borderId="0" xfId="93" applyNumberFormat="1" applyFont="1" applyFill="1" applyAlignment="1">
      <alignment horizontal="center"/>
      <protection/>
    </xf>
    <xf numFmtId="207" fontId="2" fillId="0" borderId="10" xfId="93" applyNumberFormat="1" applyFont="1" applyFill="1" applyBorder="1" applyAlignment="1">
      <alignment horizontal="right"/>
      <protection/>
    </xf>
    <xf numFmtId="207" fontId="2" fillId="0" borderId="10" xfId="0" applyNumberFormat="1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43" fontId="9" fillId="0" borderId="0" xfId="0" applyNumberFormat="1" applyFont="1" applyFill="1" applyAlignment="1">
      <alignment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Continuous" vertical="center"/>
    </xf>
    <xf numFmtId="0" fontId="9" fillId="0" borderId="1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Continuous"/>
    </xf>
    <xf numFmtId="0" fontId="9" fillId="0" borderId="0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/>
    </xf>
    <xf numFmtId="43" fontId="9" fillId="0" borderId="0" xfId="51" applyFont="1" applyFill="1" applyBorder="1" applyAlignment="1">
      <alignment/>
    </xf>
    <xf numFmtId="43" fontId="9" fillId="0" borderId="0" xfId="0" applyNumberFormat="1" applyFont="1" applyFill="1" applyBorder="1" applyAlignment="1">
      <alignment/>
    </xf>
    <xf numFmtId="208" fontId="7" fillId="0" borderId="0" xfId="0" applyNumberFormat="1" applyFont="1" applyFill="1" applyBorder="1" applyAlignment="1">
      <alignment/>
    </xf>
    <xf numFmtId="208" fontId="9" fillId="0" borderId="0" xfId="0" applyNumberFormat="1" applyFont="1" applyFill="1" applyAlignment="1">
      <alignment/>
    </xf>
    <xf numFmtId="209" fontId="9" fillId="0" borderId="0" xfId="0" applyNumberFormat="1" applyFont="1" applyFill="1" applyBorder="1" applyAlignment="1">
      <alignment/>
    </xf>
    <xf numFmtId="209" fontId="9" fillId="0" borderId="0" xfId="0" applyNumberFormat="1" applyFont="1" applyFill="1" applyAlignment="1">
      <alignment/>
    </xf>
    <xf numFmtId="0" fontId="3" fillId="0" borderId="0" xfId="42" applyNumberFormat="1" applyFont="1" applyAlignment="1">
      <alignment/>
    </xf>
    <xf numFmtId="40" fontId="11" fillId="0" borderId="11" xfId="93" applyNumberFormat="1" applyFont="1" applyBorder="1" applyAlignment="1" applyProtection="1">
      <alignment horizontal="center"/>
      <protection/>
    </xf>
    <xf numFmtId="40" fontId="9" fillId="0" borderId="0" xfId="0" applyNumberFormat="1" applyFont="1" applyBorder="1" applyAlignment="1">
      <alignment/>
    </xf>
    <xf numFmtId="40" fontId="11" fillId="0" borderId="0" xfId="93" applyNumberFormat="1" applyFont="1" applyBorder="1" applyAlignment="1" applyProtection="1">
      <alignment horizontal="center"/>
      <protection/>
    </xf>
    <xf numFmtId="40" fontId="13" fillId="0" borderId="10" xfId="0" applyNumberFormat="1" applyFont="1" applyBorder="1" applyAlignment="1">
      <alignment/>
    </xf>
    <xf numFmtId="40" fontId="13" fillId="0" borderId="10" xfId="93" applyNumberFormat="1" applyFont="1" applyFill="1" applyBorder="1" applyAlignment="1">
      <alignment/>
      <protection/>
    </xf>
    <xf numFmtId="40" fontId="14" fillId="0" borderId="0" xfId="0" applyNumberFormat="1" applyFont="1" applyAlignment="1">
      <alignment/>
    </xf>
    <xf numFmtId="40" fontId="8" fillId="0" borderId="0" xfId="0" applyNumberFormat="1" applyFont="1" applyBorder="1" applyAlignment="1">
      <alignment/>
    </xf>
    <xf numFmtId="40" fontId="7" fillId="0" borderId="0" xfId="0" applyNumberFormat="1" applyFont="1" applyAlignment="1">
      <alignment/>
    </xf>
    <xf numFmtId="40" fontId="8" fillId="0" borderId="10" xfId="0" applyNumberFormat="1" applyFont="1" applyBorder="1" applyAlignment="1">
      <alignment/>
    </xf>
    <xf numFmtId="40" fontId="7" fillId="0" borderId="10" xfId="0" applyNumberFormat="1" applyFont="1" applyBorder="1" applyAlignment="1">
      <alignment/>
    </xf>
    <xf numFmtId="38" fontId="9" fillId="0" borderId="0" xfId="0" applyNumberFormat="1" applyFont="1" applyAlignment="1">
      <alignment horizontal="center"/>
    </xf>
    <xf numFmtId="40" fontId="9" fillId="0" borderId="0" xfId="0" applyNumberFormat="1" applyFont="1" applyBorder="1" applyAlignment="1">
      <alignment/>
    </xf>
    <xf numFmtId="38" fontId="9" fillId="0" borderId="0" xfId="0" applyNumberFormat="1" applyFont="1" applyAlignment="1">
      <alignment/>
    </xf>
    <xf numFmtId="40" fontId="7" fillId="0" borderId="0" xfId="0" applyNumberFormat="1" applyFont="1" applyBorder="1" applyAlignment="1">
      <alignment horizontal="left"/>
    </xf>
    <xf numFmtId="40" fontId="7" fillId="0" borderId="0" xfId="0" applyNumberFormat="1" applyFont="1" applyBorder="1" applyAlignment="1">
      <alignment/>
    </xf>
    <xf numFmtId="38" fontId="9" fillId="0" borderId="0" xfId="0" applyNumberFormat="1" applyFont="1" applyBorder="1" applyAlignment="1">
      <alignment horizontal="center"/>
    </xf>
    <xf numFmtId="39" fontId="3" fillId="0" borderId="0" xfId="0" applyNumberFormat="1" applyFont="1" applyAlignment="1">
      <alignment/>
    </xf>
    <xf numFmtId="39" fontId="2" fillId="0" borderId="10" xfId="42" applyNumberFormat="1" applyFont="1" applyBorder="1" applyAlignment="1">
      <alignment horizontal="center"/>
    </xf>
    <xf numFmtId="39" fontId="2" fillId="0" borderId="0" xfId="0" applyNumberFormat="1" applyFont="1" applyAlignment="1">
      <alignment horizontal="center"/>
    </xf>
    <xf numFmtId="39" fontId="2" fillId="0" borderId="11" xfId="42" applyNumberFormat="1" applyFont="1" applyBorder="1" applyAlignment="1">
      <alignment horizontal="centerContinuous" vertical="center"/>
    </xf>
    <xf numFmtId="39" fontId="2" fillId="0" borderId="0" xfId="42" applyNumberFormat="1" applyFont="1" applyBorder="1" applyAlignment="1">
      <alignment horizontal="center"/>
    </xf>
    <xf numFmtId="39" fontId="2" fillId="0" borderId="10" xfId="0" applyNumberFormat="1" applyFont="1" applyBorder="1" applyAlignment="1">
      <alignment horizontal="centerContinuous" vertical="center"/>
    </xf>
    <xf numFmtId="39" fontId="2" fillId="0" borderId="0" xfId="0" applyNumberFormat="1" applyFont="1" applyBorder="1" applyAlignment="1">
      <alignment/>
    </xf>
    <xf numFmtId="205" fontId="17" fillId="0" borderId="0" xfId="0" applyNumberFormat="1" applyFont="1" applyAlignment="1">
      <alignment/>
    </xf>
    <xf numFmtId="207" fontId="17" fillId="0" borderId="0" xfId="42" applyNumberFormat="1" applyFont="1" applyAlignment="1">
      <alignment/>
    </xf>
    <xf numFmtId="39" fontId="17" fillId="0" borderId="12" xfId="42" applyNumberFormat="1" applyFont="1" applyBorder="1" applyAlignment="1">
      <alignment/>
    </xf>
    <xf numFmtId="39" fontId="17" fillId="0" borderId="0" xfId="42" applyNumberFormat="1" applyFont="1" applyAlignment="1">
      <alignment/>
    </xf>
    <xf numFmtId="39" fontId="17" fillId="0" borderId="0" xfId="42" applyNumberFormat="1" applyFont="1" applyBorder="1" applyAlignment="1">
      <alignment/>
    </xf>
    <xf numFmtId="202" fontId="2" fillId="0" borderId="0" xfId="42" applyNumberFormat="1" applyFont="1" applyAlignment="1">
      <alignment/>
    </xf>
    <xf numFmtId="39" fontId="17" fillId="0" borderId="10" xfId="42" applyNumberFormat="1" applyFont="1" applyBorder="1" applyAlignment="1">
      <alignment/>
    </xf>
    <xf numFmtId="39" fontId="2" fillId="0" borderId="13" xfId="42" applyNumberFormat="1" applyFont="1" applyBorder="1" applyAlignment="1">
      <alignment/>
    </xf>
    <xf numFmtId="39" fontId="2" fillId="0" borderId="0" xfId="0" applyNumberFormat="1" applyFont="1" applyFill="1" applyAlignment="1">
      <alignment/>
    </xf>
    <xf numFmtId="213" fontId="2" fillId="0" borderId="0" xfId="0" applyNumberFormat="1" applyFont="1" applyFill="1" applyAlignment="1">
      <alignment/>
    </xf>
    <xf numFmtId="39" fontId="2" fillId="0" borderId="0" xfId="93" applyNumberFormat="1" applyFont="1" applyFill="1" applyBorder="1" applyAlignment="1">
      <alignment horizontal="right"/>
      <protection/>
    </xf>
    <xf numFmtId="39" fontId="3" fillId="0" borderId="0" xfId="0" applyNumberFormat="1" applyFont="1" applyAlignment="1">
      <alignment/>
    </xf>
    <xf numFmtId="39" fontId="9" fillId="0" borderId="0" xfId="0" applyNumberFormat="1" applyFont="1" applyAlignment="1">
      <alignment/>
    </xf>
    <xf numFmtId="39" fontId="2" fillId="0" borderId="0" xfId="93" applyNumberFormat="1" applyFont="1" applyAlignment="1" applyProtection="1">
      <alignment/>
      <protection/>
    </xf>
    <xf numFmtId="39" fontId="2" fillId="0" borderId="0" xfId="0" applyNumberFormat="1" applyFont="1" applyAlignment="1">
      <alignment horizontal="left"/>
    </xf>
    <xf numFmtId="39" fontId="2" fillId="0" borderId="0" xfId="0" applyNumberFormat="1" applyFont="1" applyFill="1" applyAlignment="1">
      <alignment horizontal="center"/>
    </xf>
    <xf numFmtId="39" fontId="2" fillId="0" borderId="13" xfId="42" applyNumberFormat="1" applyFont="1" applyBorder="1" applyAlignment="1" applyProtection="1" quotePrefix="1">
      <alignment/>
      <protection/>
    </xf>
    <xf numFmtId="39" fontId="2" fillId="0" borderId="0" xfId="42" applyNumberFormat="1" applyFont="1" applyBorder="1" applyAlignment="1" applyProtection="1" quotePrefix="1">
      <alignment/>
      <protection/>
    </xf>
    <xf numFmtId="39" fontId="2" fillId="0" borderId="0" xfId="0" applyNumberFormat="1" applyFont="1" applyAlignment="1">
      <alignment horizontal="centerContinuous"/>
    </xf>
    <xf numFmtId="39" fontId="3" fillId="0" borderId="0" xfId="42" applyNumberFormat="1" applyFont="1" applyAlignment="1" applyProtection="1" quotePrefix="1">
      <alignment/>
      <protection/>
    </xf>
    <xf numFmtId="39" fontId="2" fillId="0" borderId="0" xfId="0" applyNumberFormat="1" applyFont="1" applyAlignment="1">
      <alignment horizontal="right"/>
    </xf>
    <xf numFmtId="39" fontId="2" fillId="0" borderId="10" xfId="42" applyNumberFormat="1" applyFont="1" applyBorder="1" applyAlignment="1" applyProtection="1" quotePrefix="1">
      <alignment/>
      <protection/>
    </xf>
    <xf numFmtId="39" fontId="3" fillId="0" borderId="0" xfId="0" applyNumberFormat="1" applyFont="1" applyAlignment="1" quotePrefix="1">
      <alignment horizontal="center"/>
    </xf>
    <xf numFmtId="43" fontId="9" fillId="0" borderId="0" xfId="42" applyFont="1" applyAlignment="1">
      <alignment/>
    </xf>
    <xf numFmtId="43" fontId="2" fillId="0" borderId="13" xfId="42" applyFont="1" applyBorder="1" applyAlignment="1">
      <alignment/>
    </xf>
    <xf numFmtId="206" fontId="2" fillId="0" borderId="0" xfId="93" applyNumberFormat="1" applyFont="1" applyFill="1" applyBorder="1" applyAlignment="1" applyProtection="1" quotePrefix="1">
      <alignment horizontal="centerContinuous"/>
      <protection/>
    </xf>
    <xf numFmtId="206" fontId="9" fillId="0" borderId="0" xfId="0" applyNumberFormat="1" applyFont="1" applyFill="1" applyAlignment="1">
      <alignment/>
    </xf>
    <xf numFmtId="206" fontId="2" fillId="0" borderId="0" xfId="93" applyNumberFormat="1" applyFont="1" applyFill="1" applyBorder="1" applyAlignment="1" applyProtection="1" quotePrefix="1">
      <alignment horizontal="center"/>
      <protection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40" fontId="2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right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 quotePrefix="1">
      <alignment horizontal="center"/>
    </xf>
    <xf numFmtId="40" fontId="21" fillId="0" borderId="0" xfId="0" applyNumberFormat="1" applyFont="1" applyFill="1" applyAlignment="1" quotePrefix="1">
      <alignment horizontal="center"/>
    </xf>
    <xf numFmtId="40" fontId="21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43" fontId="20" fillId="0" borderId="0" xfId="42" applyFont="1" applyFill="1" applyAlignment="1">
      <alignment/>
    </xf>
    <xf numFmtId="43" fontId="20" fillId="0" borderId="0" xfId="42" applyFont="1" applyFill="1" applyAlignment="1">
      <alignment/>
    </xf>
    <xf numFmtId="43" fontId="2" fillId="0" borderId="0" xfId="42" applyFont="1" applyFill="1" applyAlignment="1">
      <alignment/>
    </xf>
    <xf numFmtId="40" fontId="20" fillId="0" borderId="0" xfId="0" applyNumberFormat="1" applyFont="1" applyFill="1" applyAlignment="1">
      <alignment horizontal="center"/>
    </xf>
    <xf numFmtId="43" fontId="2" fillId="0" borderId="12" xfId="42" applyFont="1" applyFill="1" applyBorder="1" applyAlignment="1">
      <alignment/>
    </xf>
    <xf numFmtId="43" fontId="2" fillId="0" borderId="13" xfId="42" applyFont="1" applyFill="1" applyBorder="1" applyAlignment="1">
      <alignment/>
    </xf>
    <xf numFmtId="206" fontId="20" fillId="0" borderId="0" xfId="0" applyNumberFormat="1" applyFont="1" applyFill="1" applyAlignment="1">
      <alignment/>
    </xf>
    <xf numFmtId="43" fontId="2" fillId="0" borderId="0" xfId="42" applyFont="1" applyFill="1" applyAlignment="1">
      <alignment/>
    </xf>
    <xf numFmtId="0" fontId="2" fillId="0" borderId="0" xfId="42" applyNumberFormat="1" applyFont="1" applyAlignment="1">
      <alignment/>
    </xf>
    <xf numFmtId="216" fontId="2" fillId="0" borderId="0" xfId="42" applyNumberFormat="1" applyFont="1" applyFill="1" applyAlignment="1">
      <alignment/>
    </xf>
    <xf numFmtId="39" fontId="2" fillId="0" borderId="0" xfId="42" applyNumberFormat="1" applyFont="1" applyFill="1" applyAlignment="1">
      <alignment/>
    </xf>
    <xf numFmtId="43" fontId="2" fillId="0" borderId="0" xfId="42" applyFont="1" applyAlignment="1">
      <alignment/>
    </xf>
    <xf numFmtId="43" fontId="2" fillId="0" borderId="0" xfId="42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39" fontId="2" fillId="0" borderId="0" xfId="48" applyNumberFormat="1" applyFont="1" applyFill="1" applyBorder="1" applyAlignment="1">
      <alignment/>
    </xf>
    <xf numFmtId="39" fontId="2" fillId="0" borderId="0" xfId="48" applyNumberFormat="1" applyFont="1" applyFill="1" applyAlignment="1">
      <alignment/>
    </xf>
    <xf numFmtId="207" fontId="3" fillId="0" borderId="0" xfId="93" applyNumberFormat="1" applyFont="1" applyFill="1" applyAlignment="1">
      <alignment horizontal="right"/>
      <protection/>
    </xf>
    <xf numFmtId="39" fontId="2" fillId="0" borderId="0" xfId="48" applyNumberFormat="1" applyFont="1" applyFill="1" applyAlignment="1">
      <alignment/>
    </xf>
    <xf numFmtId="39" fontId="3" fillId="0" borderId="0" xfId="93" applyNumberFormat="1" applyFont="1" applyFill="1" applyAlignment="1">
      <alignment horizontal="right"/>
      <protection/>
    </xf>
    <xf numFmtId="39" fontId="2" fillId="0" borderId="0" xfId="86" applyNumberFormat="1" applyFont="1" applyFill="1">
      <alignment/>
      <protection/>
    </xf>
    <xf numFmtId="39" fontId="3" fillId="0" borderId="0" xfId="93" applyNumberFormat="1" applyFont="1" applyFill="1" applyAlignment="1">
      <alignment horizontal="center"/>
      <protection/>
    </xf>
    <xf numFmtId="40" fontId="2" fillId="0" borderId="0" xfId="0" applyNumberFormat="1" applyFont="1" applyAlignment="1" quotePrefix="1">
      <alignment horizontal="center"/>
    </xf>
    <xf numFmtId="39" fontId="3" fillId="0" borderId="0" xfId="93" applyNumberFormat="1" applyFont="1" applyFill="1" applyAlignment="1">
      <alignment/>
      <protection/>
    </xf>
    <xf numFmtId="39" fontId="3" fillId="0" borderId="10" xfId="93" applyNumberFormat="1" applyFont="1" applyFill="1" applyBorder="1" applyAlignment="1">
      <alignment horizontal="right"/>
      <protection/>
    </xf>
    <xf numFmtId="204" fontId="9" fillId="0" borderId="0" xfId="53" applyNumberFormat="1" applyFont="1" applyFill="1" applyBorder="1" applyAlignment="1">
      <alignment vertical="center"/>
    </xf>
    <xf numFmtId="43" fontId="9" fillId="0" borderId="0" xfId="53" applyNumberFormat="1" applyFont="1" applyFill="1" applyBorder="1" applyAlignment="1">
      <alignment vertical="center"/>
    </xf>
    <xf numFmtId="43" fontId="9" fillId="0" borderId="0" xfId="53" applyFont="1" applyFill="1" applyBorder="1" applyAlignment="1">
      <alignment vertical="center"/>
    </xf>
    <xf numFmtId="204" fontId="9" fillId="0" borderId="0" xfId="51" applyNumberFormat="1" applyFont="1" applyFill="1" applyBorder="1" applyAlignment="1">
      <alignment vertical="center"/>
    </xf>
    <xf numFmtId="204" fontId="9" fillId="0" borderId="0" xfId="79" applyNumberFormat="1" applyFont="1" applyFill="1" applyBorder="1" applyAlignment="1">
      <alignment vertical="center"/>
      <protection/>
    </xf>
    <xf numFmtId="204" fontId="9" fillId="0" borderId="0" xfId="77" applyNumberFormat="1" applyFont="1" applyFill="1" applyBorder="1" applyAlignment="1">
      <alignment vertical="center"/>
      <protection/>
    </xf>
    <xf numFmtId="194" fontId="9" fillId="0" borderId="0" xfId="53" applyNumberFormat="1" applyFont="1" applyFill="1" applyBorder="1" applyAlignment="1">
      <alignment vertical="center"/>
    </xf>
    <xf numFmtId="43" fontId="9" fillId="0" borderId="11" xfId="79" applyNumberFormat="1" applyFont="1" applyFill="1" applyBorder="1" applyAlignment="1">
      <alignment vertical="center"/>
      <protection/>
    </xf>
    <xf numFmtId="207" fontId="9" fillId="0" borderId="0" xfId="79" applyNumberFormat="1" applyFont="1" applyFill="1" applyBorder="1" applyAlignment="1">
      <alignment vertical="center"/>
      <protection/>
    </xf>
    <xf numFmtId="43" fontId="9" fillId="0" borderId="0" xfId="79" applyNumberFormat="1" applyFont="1" applyFill="1" applyBorder="1" applyAlignment="1">
      <alignment vertical="center"/>
      <protection/>
    </xf>
    <xf numFmtId="43" fontId="9" fillId="0" borderId="13" xfId="79" applyNumberFormat="1" applyFont="1" applyFill="1" applyBorder="1" applyAlignment="1">
      <alignment vertical="center"/>
      <protection/>
    </xf>
    <xf numFmtId="40" fontId="20" fillId="0" borderId="0" xfId="0" applyNumberFormat="1" applyFont="1" applyFill="1" applyAlignment="1" quotePrefix="1">
      <alignment vertical="center"/>
    </xf>
    <xf numFmtId="210" fontId="20" fillId="0" borderId="0" xfId="84" applyNumberFormat="1" applyFont="1" applyFill="1" applyAlignment="1">
      <alignment horizontal="left" vertical="center"/>
      <protection/>
    </xf>
    <xf numFmtId="40" fontId="20" fillId="0" borderId="0" xfId="0" applyNumberFormat="1" applyFont="1" applyFill="1" applyAlignment="1" quotePrefix="1">
      <alignment horizontal="left" vertical="center"/>
    </xf>
    <xf numFmtId="210" fontId="21" fillId="0" borderId="0" xfId="84" applyNumberFormat="1" applyFont="1" applyFill="1" applyBorder="1" applyAlignment="1">
      <alignment horizontal="left" vertical="center"/>
      <protection/>
    </xf>
    <xf numFmtId="210" fontId="20" fillId="0" borderId="0" xfId="84" applyNumberFormat="1" applyFont="1" applyFill="1" applyBorder="1" applyAlignment="1">
      <alignment horizontal="left" vertical="center"/>
      <protection/>
    </xf>
    <xf numFmtId="210" fontId="20" fillId="0" borderId="0" xfId="61" applyNumberFormat="1" applyFont="1" applyFill="1" applyBorder="1" applyAlignment="1">
      <alignment horizontal="left" vertical="center"/>
    </xf>
    <xf numFmtId="210" fontId="21" fillId="0" borderId="0" xfId="84" applyNumberFormat="1" applyFont="1" applyFill="1" applyAlignment="1">
      <alignment horizontal="left" vertical="center"/>
      <protection/>
    </xf>
    <xf numFmtId="210" fontId="20" fillId="0" borderId="0" xfId="84" applyNumberFormat="1" applyFont="1" applyFill="1" applyBorder="1" applyAlignment="1">
      <alignment horizontal="right" vertical="center"/>
      <protection/>
    </xf>
    <xf numFmtId="210" fontId="20" fillId="0" borderId="10" xfId="84" applyNumberFormat="1" applyFont="1" applyFill="1" applyBorder="1" applyAlignment="1">
      <alignment horizontal="centerContinuous" vertical="center"/>
      <protection/>
    </xf>
    <xf numFmtId="224" fontId="20" fillId="0" borderId="0" xfId="84" applyNumberFormat="1" applyFont="1" applyFill="1" applyBorder="1" applyAlignment="1" quotePrefix="1">
      <alignment horizontal="center"/>
      <protection/>
    </xf>
    <xf numFmtId="210" fontId="20" fillId="0" borderId="11" xfId="83" applyNumberFormat="1" applyFont="1" applyFill="1" applyBorder="1" applyAlignment="1">
      <alignment vertical="center"/>
      <protection/>
    </xf>
    <xf numFmtId="210" fontId="20" fillId="0" borderId="0" xfId="83" applyNumberFormat="1" applyFont="1" applyFill="1" applyBorder="1" applyAlignment="1">
      <alignment horizontal="left" vertical="center"/>
      <protection/>
    </xf>
    <xf numFmtId="210" fontId="20" fillId="0" borderId="0" xfId="84" applyNumberFormat="1" applyFont="1" applyFill="1" applyBorder="1" applyAlignment="1">
      <alignment vertical="center"/>
      <protection/>
    </xf>
    <xf numFmtId="210" fontId="20" fillId="0" borderId="0" xfId="83" applyNumberFormat="1" applyFont="1" applyFill="1" applyBorder="1" applyAlignment="1">
      <alignment vertical="center"/>
      <protection/>
    </xf>
    <xf numFmtId="210" fontId="21" fillId="0" borderId="0" xfId="84" applyNumberFormat="1" applyFont="1" applyFill="1" applyBorder="1" applyAlignment="1">
      <alignment horizontal="center" vertical="center"/>
      <protection/>
    </xf>
    <xf numFmtId="210" fontId="20" fillId="0" borderId="13" xfId="83" applyNumberFormat="1" applyFont="1" applyFill="1" applyBorder="1" applyAlignment="1">
      <alignment vertical="center"/>
      <protection/>
    </xf>
    <xf numFmtId="204" fontId="11" fillId="0" borderId="11" xfId="93" applyNumberFormat="1" applyFont="1" applyFill="1" applyBorder="1" applyAlignment="1">
      <alignment horizontal="center"/>
      <protection/>
    </xf>
    <xf numFmtId="0" fontId="14" fillId="0" borderId="10" xfId="0" applyFont="1" applyFill="1" applyBorder="1" applyAlignment="1" quotePrefix="1">
      <alignment horizontal="center"/>
    </xf>
    <xf numFmtId="214" fontId="9" fillId="0" borderId="0" xfId="61" applyNumberFormat="1" applyFont="1" applyFill="1" applyBorder="1" applyAlignment="1">
      <alignment/>
    </xf>
    <xf numFmtId="210" fontId="9" fillId="0" borderId="0" xfId="61" applyNumberFormat="1" applyFont="1" applyFill="1" applyBorder="1" applyAlignment="1">
      <alignment/>
    </xf>
    <xf numFmtId="210" fontId="9" fillId="0" borderId="0" xfId="83" applyNumberFormat="1" applyFont="1" applyFill="1" applyAlignment="1" quotePrefix="1">
      <alignment/>
      <protection/>
    </xf>
    <xf numFmtId="210" fontId="9" fillId="0" borderId="0" xfId="61" applyNumberFormat="1" applyFont="1" applyFill="1" applyAlignment="1">
      <alignment horizontal="right"/>
    </xf>
    <xf numFmtId="210" fontId="9" fillId="0" borderId="10" xfId="61" applyNumberFormat="1" applyFont="1" applyFill="1" applyBorder="1" applyAlignment="1">
      <alignment/>
    </xf>
    <xf numFmtId="210" fontId="9" fillId="0" borderId="0" xfId="83" applyNumberFormat="1" applyFont="1" applyFill="1" applyBorder="1">
      <alignment/>
      <protection/>
    </xf>
    <xf numFmtId="43" fontId="9" fillId="0" borderId="0" xfId="45" applyFont="1" applyFill="1" applyBorder="1" applyAlignment="1" quotePrefix="1">
      <alignment wrapText="1"/>
    </xf>
    <xf numFmtId="210" fontId="9" fillId="0" borderId="0" xfId="83" applyNumberFormat="1" applyFont="1" applyFill="1">
      <alignment/>
      <protection/>
    </xf>
    <xf numFmtId="210" fontId="9" fillId="0" borderId="13" xfId="61" applyNumberFormat="1" applyFont="1" applyFill="1" applyBorder="1" applyAlignment="1">
      <alignment/>
    </xf>
    <xf numFmtId="214" fontId="9" fillId="0" borderId="0" xfId="83" applyNumberFormat="1" applyFont="1" applyFill="1" applyBorder="1">
      <alignment/>
      <protection/>
    </xf>
    <xf numFmtId="210" fontId="9" fillId="0" borderId="0" xfId="83" applyNumberFormat="1" applyFont="1" applyFill="1" applyBorder="1" applyAlignment="1">
      <alignment/>
      <protection/>
    </xf>
    <xf numFmtId="210" fontId="9" fillId="0" borderId="0" xfId="83" applyNumberFormat="1" applyFont="1" applyFill="1" applyBorder="1" applyAlignment="1">
      <alignment horizontal="center"/>
      <protection/>
    </xf>
    <xf numFmtId="210" fontId="9" fillId="0" borderId="0" xfId="83" applyNumberFormat="1" applyFont="1" applyFill="1" applyAlignment="1" quotePrefix="1">
      <alignment horizontal="right"/>
      <protection/>
    </xf>
    <xf numFmtId="208" fontId="9" fillId="0" borderId="0" xfId="0" applyNumberFormat="1" applyFont="1" applyFill="1" applyAlignment="1" quotePrefix="1">
      <alignment horizontal="center"/>
    </xf>
    <xf numFmtId="208" fontId="9" fillId="0" borderId="0" xfId="0" applyNumberFormat="1" applyFont="1" applyFill="1" applyBorder="1" applyAlignment="1">
      <alignment/>
    </xf>
    <xf numFmtId="208" fontId="9" fillId="0" borderId="0" xfId="0" applyNumberFormat="1" applyFont="1" applyFill="1" applyAlignment="1" quotePrefix="1">
      <alignment/>
    </xf>
    <xf numFmtId="210" fontId="9" fillId="0" borderId="0" xfId="83" applyNumberFormat="1" applyFont="1" applyFill="1" applyAlignment="1">
      <alignment horizontal="right"/>
      <protection/>
    </xf>
    <xf numFmtId="214" fontId="11" fillId="0" borderId="0" xfId="83" applyNumberFormat="1" applyFont="1" applyFill="1" applyBorder="1" applyAlignment="1" quotePrefix="1">
      <alignment horizontal="center"/>
      <protection/>
    </xf>
    <xf numFmtId="210" fontId="11" fillId="0" borderId="0" xfId="83" applyNumberFormat="1" applyFont="1" applyFill="1" applyBorder="1" applyAlignment="1" quotePrefix="1">
      <alignment horizontal="center"/>
      <protection/>
    </xf>
    <xf numFmtId="210" fontId="9" fillId="0" borderId="0" xfId="83" applyNumberFormat="1" applyFont="1" applyFill="1" applyAlignment="1">
      <alignment/>
      <protection/>
    </xf>
    <xf numFmtId="210" fontId="9" fillId="0" borderId="0" xfId="83" applyNumberFormat="1" applyFont="1" applyFill="1" applyAlignment="1">
      <alignment horizontal="center"/>
      <protection/>
    </xf>
    <xf numFmtId="210" fontId="9" fillId="0" borderId="0" xfId="61" applyNumberFormat="1" applyFont="1" applyFill="1" applyBorder="1" applyAlignment="1">
      <alignment horizontal="right"/>
    </xf>
    <xf numFmtId="214" fontId="9" fillId="0" borderId="0" xfId="83" applyNumberFormat="1" applyFont="1" applyFill="1" applyAlignment="1">
      <alignment horizontal="center"/>
      <protection/>
    </xf>
    <xf numFmtId="214" fontId="9" fillId="0" borderId="0" xfId="83" applyNumberFormat="1" applyFont="1" applyFill="1">
      <alignment/>
      <protection/>
    </xf>
    <xf numFmtId="214" fontId="9" fillId="0" borderId="0" xfId="82" applyNumberFormat="1" applyFont="1" applyFill="1" applyAlignment="1">
      <alignment horizontal="center"/>
      <protection/>
    </xf>
    <xf numFmtId="214" fontId="9" fillId="0" borderId="0" xfId="82" applyNumberFormat="1" applyFont="1" applyFill="1">
      <alignment/>
      <protection/>
    </xf>
    <xf numFmtId="210" fontId="9" fillId="0" borderId="0" xfId="60" applyNumberFormat="1" applyFont="1" applyFill="1" applyBorder="1" applyAlignment="1">
      <alignment/>
    </xf>
    <xf numFmtId="210" fontId="9" fillId="0" borderId="0" xfId="82" applyNumberFormat="1" applyFont="1" applyFill="1" applyAlignment="1">
      <alignment horizontal="center"/>
      <protection/>
    </xf>
    <xf numFmtId="210" fontId="11" fillId="0" borderId="0" xfId="83" applyNumberFormat="1" applyFont="1" applyFill="1" applyAlignment="1">
      <alignment horizontal="center"/>
      <protection/>
    </xf>
    <xf numFmtId="43" fontId="9" fillId="0" borderId="0" xfId="45" applyFont="1" applyFill="1" applyBorder="1" applyAlignment="1">
      <alignment horizontal="center"/>
    </xf>
    <xf numFmtId="210" fontId="9" fillId="0" borderId="10" xfId="83" applyNumberFormat="1" applyFont="1" applyFill="1" applyBorder="1">
      <alignment/>
      <protection/>
    </xf>
    <xf numFmtId="210" fontId="9" fillId="0" borderId="13" xfId="83" applyNumberFormat="1" applyFont="1" applyFill="1" applyBorder="1">
      <alignment/>
      <protection/>
    </xf>
    <xf numFmtId="210" fontId="11" fillId="0" borderId="14" xfId="83" applyNumberFormat="1" applyFont="1" applyFill="1" applyBorder="1">
      <alignment/>
      <protection/>
    </xf>
    <xf numFmtId="210" fontId="9" fillId="0" borderId="0" xfId="0" applyNumberFormat="1" applyFont="1" applyFill="1" applyAlignment="1">
      <alignment/>
    </xf>
    <xf numFmtId="210" fontId="9" fillId="0" borderId="0" xfId="0" applyNumberFormat="1" applyFont="1" applyFill="1" applyAlignment="1">
      <alignment/>
    </xf>
    <xf numFmtId="210" fontId="11" fillId="0" borderId="0" xfId="0" applyNumberFormat="1" applyFont="1" applyFill="1" applyAlignment="1">
      <alignment/>
    </xf>
    <xf numFmtId="38" fontId="9" fillId="0" borderId="0" xfId="83" applyNumberFormat="1" applyFont="1" applyFill="1" applyAlignment="1">
      <alignment horizontal="center"/>
      <protection/>
    </xf>
    <xf numFmtId="40" fontId="9" fillId="0" borderId="0" xfId="83" applyNumberFormat="1" applyFont="1" applyFill="1" applyBorder="1" applyAlignment="1">
      <alignment/>
      <protection/>
    </xf>
    <xf numFmtId="38" fontId="9" fillId="0" borderId="0" xfId="83" applyNumberFormat="1" applyFont="1" applyFill="1">
      <alignment/>
      <protection/>
    </xf>
    <xf numFmtId="43" fontId="9" fillId="0" borderId="0" xfId="61" applyNumberFormat="1" applyFont="1" applyFill="1" applyBorder="1" applyAlignment="1">
      <alignment/>
    </xf>
    <xf numFmtId="43" fontId="9" fillId="0" borderId="0" xfId="61" applyFont="1" applyFill="1" applyBorder="1" applyAlignment="1">
      <alignment/>
    </xf>
    <xf numFmtId="40" fontId="9" fillId="0" borderId="0" xfId="83" applyNumberFormat="1" applyFont="1" applyFill="1" applyAlignment="1">
      <alignment horizontal="center"/>
      <protection/>
    </xf>
    <xf numFmtId="40" fontId="9" fillId="0" borderId="0" xfId="83" applyNumberFormat="1" applyFont="1" applyFill="1">
      <alignment/>
      <protection/>
    </xf>
    <xf numFmtId="43" fontId="9" fillId="0" borderId="13" xfId="61" applyFont="1" applyFill="1" applyBorder="1" applyAlignment="1">
      <alignment/>
    </xf>
    <xf numFmtId="43" fontId="9" fillId="0" borderId="0" xfId="48" applyFont="1" applyBorder="1" applyAlignment="1">
      <alignment/>
    </xf>
    <xf numFmtId="0" fontId="9" fillId="0" borderId="0" xfId="83" applyFont="1" applyFill="1" applyBorder="1">
      <alignment/>
      <protection/>
    </xf>
    <xf numFmtId="0" fontId="9" fillId="0" borderId="0" xfId="83" applyFont="1" applyFill="1" applyBorder="1" applyAlignment="1">
      <alignment/>
      <protection/>
    </xf>
    <xf numFmtId="0" fontId="9" fillId="0" borderId="0" xfId="83" applyFont="1" applyFill="1" applyBorder="1" applyAlignment="1">
      <alignment horizontal="center"/>
      <protection/>
    </xf>
    <xf numFmtId="39" fontId="9" fillId="0" borderId="0" xfId="83" applyNumberFormat="1" applyFont="1" applyFill="1" applyAlignment="1">
      <alignment horizontal="right"/>
      <protection/>
    </xf>
    <xf numFmtId="39" fontId="9" fillId="0" borderId="0" xfId="83" applyNumberFormat="1" applyFont="1" applyFill="1">
      <alignment/>
      <protection/>
    </xf>
    <xf numFmtId="39" fontId="9" fillId="0" borderId="0" xfId="83" applyNumberFormat="1" applyFont="1" applyFill="1" applyAlignment="1">
      <alignment horizontal="center"/>
      <protection/>
    </xf>
    <xf numFmtId="39" fontId="9" fillId="0" borderId="0" xfId="83" applyNumberFormat="1" applyFont="1" applyFill="1" applyAlignment="1">
      <alignment/>
      <protection/>
    </xf>
    <xf numFmtId="43" fontId="9" fillId="0" borderId="0" xfId="48" applyNumberFormat="1" applyFont="1" applyBorder="1" applyAlignment="1">
      <alignment/>
    </xf>
    <xf numFmtId="43" fontId="9" fillId="0" borderId="0" xfId="48" applyFont="1" applyAlignment="1">
      <alignment/>
    </xf>
    <xf numFmtId="40" fontId="9" fillId="0" borderId="0" xfId="83" applyNumberFormat="1" applyFont="1" applyFill="1" applyAlignment="1">
      <alignment horizontal="right"/>
      <protection/>
    </xf>
    <xf numFmtId="43" fontId="9" fillId="0" borderId="0" xfId="45" applyFont="1" applyFill="1" applyAlignment="1">
      <alignment horizontal="right"/>
    </xf>
    <xf numFmtId="38" fontId="9" fillId="0" borderId="0" xfId="83" applyNumberFormat="1" applyFont="1" applyFill="1" applyAlignment="1">
      <alignment/>
      <protection/>
    </xf>
    <xf numFmtId="43" fontId="9" fillId="0" borderId="11" xfId="61" applyFont="1" applyFill="1" applyBorder="1" applyAlignment="1">
      <alignment/>
    </xf>
    <xf numFmtId="200" fontId="9" fillId="0" borderId="0" xfId="61" applyNumberFormat="1" applyFont="1" applyFill="1" applyBorder="1" applyAlignment="1">
      <alignment/>
    </xf>
    <xf numFmtId="43" fontId="11" fillId="0" borderId="15" xfId="83" applyNumberFormat="1" applyFont="1" applyFill="1" applyBorder="1">
      <alignment/>
      <protection/>
    </xf>
    <xf numFmtId="223" fontId="17" fillId="0" borderId="0" xfId="0" applyNumberFormat="1" applyFont="1" applyAlignment="1">
      <alignment/>
    </xf>
    <xf numFmtId="223" fontId="2" fillId="0" borderId="0" xfId="42" applyNumberFormat="1" applyFont="1" applyAlignment="1">
      <alignment/>
    </xf>
    <xf numFmtId="223" fontId="2" fillId="0" borderId="0" xfId="0" applyNumberFormat="1" applyFont="1" applyAlignment="1">
      <alignment/>
    </xf>
    <xf numFmtId="205" fontId="17" fillId="0" borderId="12" xfId="42" applyNumberFormat="1" applyFont="1" applyBorder="1" applyAlignment="1">
      <alignment/>
    </xf>
    <xf numFmtId="205" fontId="17" fillId="0" borderId="0" xfId="42" applyNumberFormat="1" applyFont="1" applyBorder="1" applyAlignment="1">
      <alignment/>
    </xf>
    <xf numFmtId="207" fontId="17" fillId="0" borderId="10" xfId="42" applyNumberFormat="1" applyFont="1" applyBorder="1" applyAlignment="1">
      <alignment/>
    </xf>
    <xf numFmtId="0" fontId="7" fillId="0" borderId="0" xfId="0" applyFont="1" applyFill="1" applyAlignment="1">
      <alignment/>
    </xf>
    <xf numFmtId="40" fontId="3" fillId="0" borderId="0" xfId="0" applyNumberFormat="1" applyFont="1" applyFill="1" applyAlignment="1">
      <alignment/>
    </xf>
    <xf numFmtId="40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40" fontId="2" fillId="0" borderId="11" xfId="0" applyNumberFormat="1" applyFont="1" applyFill="1" applyBorder="1" applyAlignment="1">
      <alignment horizontal="center"/>
    </xf>
    <xf numFmtId="199" fontId="2" fillId="0" borderId="0" xfId="0" applyNumberFormat="1" applyFont="1" applyFill="1" applyAlignment="1">
      <alignment/>
    </xf>
    <xf numFmtId="222" fontId="2" fillId="0" borderId="0" xfId="86" applyNumberFormat="1" applyFont="1" applyFill="1">
      <alignment/>
      <protection/>
    </xf>
    <xf numFmtId="0" fontId="7" fillId="0" borderId="0" xfId="0" applyFont="1" applyFill="1" applyAlignment="1" quotePrefix="1">
      <alignment horizontal="center" vertical="center" textRotation="180"/>
    </xf>
    <xf numFmtId="216" fontId="2" fillId="0" borderId="0" xfId="86" applyNumberFormat="1" applyFont="1" applyFill="1">
      <alignment/>
      <protection/>
    </xf>
    <xf numFmtId="199" fontId="2" fillId="0" borderId="0" xfId="86" applyNumberFormat="1" applyFont="1" applyFill="1">
      <alignment/>
      <protection/>
    </xf>
    <xf numFmtId="213" fontId="2" fillId="0" borderId="12" xfId="0" applyNumberFormat="1" applyFont="1" applyFill="1" applyBorder="1" applyAlignment="1">
      <alignment/>
    </xf>
    <xf numFmtId="213" fontId="2" fillId="0" borderId="15" xfId="0" applyNumberFormat="1" applyFont="1" applyFill="1" applyBorder="1" applyAlignment="1">
      <alignment/>
    </xf>
    <xf numFmtId="40" fontId="9" fillId="0" borderId="0" xfId="0" applyNumberFormat="1" applyFont="1" applyFill="1" applyAlignment="1">
      <alignment/>
    </xf>
    <xf numFmtId="40" fontId="2" fillId="0" borderId="0" xfId="86" applyNumberFormat="1" applyFont="1" applyFill="1" applyAlignment="1">
      <alignment/>
      <protection/>
    </xf>
    <xf numFmtId="40" fontId="2" fillId="0" borderId="0" xfId="0" applyNumberFormat="1" applyFont="1" applyFill="1" applyAlignment="1">
      <alignment/>
    </xf>
    <xf numFmtId="199" fontId="9" fillId="0" borderId="0" xfId="0" applyNumberFormat="1" applyFont="1" applyFill="1" applyAlignment="1">
      <alignment/>
    </xf>
    <xf numFmtId="201" fontId="9" fillId="0" borderId="0" xfId="0" applyNumberFormat="1" applyFont="1" applyFill="1" applyAlignment="1">
      <alignment/>
    </xf>
    <xf numFmtId="39" fontId="2" fillId="0" borderId="0" xfId="42" applyNumberFormat="1" applyFont="1" applyAlignment="1">
      <alignment/>
    </xf>
    <xf numFmtId="39" fontId="2" fillId="0" borderId="13" xfId="42" applyNumberFormat="1" applyFont="1" applyBorder="1" applyAlignment="1">
      <alignment/>
    </xf>
    <xf numFmtId="0" fontId="3" fillId="0" borderId="0" xfId="0" applyNumberFormat="1" applyFont="1" applyFill="1" applyAlignment="1">
      <alignment horizontal="left"/>
    </xf>
    <xf numFmtId="0" fontId="8" fillId="0" borderId="12" xfId="0" applyNumberFormat="1" applyFont="1" applyFill="1" applyBorder="1" applyAlignment="1">
      <alignment horizontal="center"/>
    </xf>
    <xf numFmtId="206" fontId="7" fillId="0" borderId="12" xfId="0" applyNumberFormat="1" applyFont="1" applyFill="1" applyBorder="1" applyAlignment="1">
      <alignment horizontal="center"/>
    </xf>
    <xf numFmtId="206" fontId="8" fillId="0" borderId="12" xfId="0" applyNumberFormat="1" applyFont="1" applyFill="1" applyBorder="1" applyAlignment="1">
      <alignment horizontal="center"/>
    </xf>
    <xf numFmtId="208" fontId="2" fillId="0" borderId="12" xfId="42" applyNumberFormat="1" applyFont="1" applyBorder="1" applyAlignment="1">
      <alignment/>
    </xf>
    <xf numFmtId="0" fontId="7" fillId="0" borderId="0" xfId="0" applyNumberFormat="1" applyFont="1" applyFill="1" applyAlignment="1">
      <alignment horizontal="left"/>
    </xf>
    <xf numFmtId="39" fontId="2" fillId="0" borderId="0" xfId="93" applyNumberFormat="1" applyFont="1" applyBorder="1" applyAlignment="1" applyProtection="1">
      <alignment/>
      <protection/>
    </xf>
    <xf numFmtId="39" fontId="3" fillId="0" borderId="0" xfId="93" applyNumberFormat="1" applyFont="1" applyBorder="1" applyAlignment="1" applyProtection="1" quotePrefix="1">
      <alignment/>
      <protection/>
    </xf>
    <xf numFmtId="38" fontId="2" fillId="0" borderId="0" xfId="0" applyNumberFormat="1" applyFont="1" applyAlignment="1">
      <alignment horizontal="center"/>
    </xf>
    <xf numFmtId="218" fontId="2" fillId="0" borderId="0" xfId="42" applyNumberFormat="1" applyFont="1" applyFill="1" applyAlignment="1">
      <alignment horizontal="right"/>
    </xf>
    <xf numFmtId="218" fontId="2" fillId="0" borderId="12" xfId="42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left"/>
    </xf>
    <xf numFmtId="218" fontId="2" fillId="0" borderId="0" xfId="42" applyNumberFormat="1" applyFont="1" applyFill="1" applyBorder="1" applyAlignment="1">
      <alignment horizontal="right"/>
    </xf>
    <xf numFmtId="206" fontId="9" fillId="0" borderId="0" xfId="0" applyNumberFormat="1" applyFont="1" applyBorder="1" applyAlignment="1">
      <alignment/>
    </xf>
    <xf numFmtId="218" fontId="2" fillId="0" borderId="15" xfId="42" applyNumberFormat="1" applyFont="1" applyFill="1" applyBorder="1" applyAlignment="1">
      <alignment horizontal="right"/>
    </xf>
    <xf numFmtId="39" fontId="2" fillId="0" borderId="0" xfId="93" applyNumberFormat="1" applyFont="1" applyFill="1" applyBorder="1" applyAlignment="1" applyProtection="1">
      <alignment/>
      <protection/>
    </xf>
    <xf numFmtId="210" fontId="2" fillId="0" borderId="0" xfId="42" applyNumberFormat="1" applyFont="1" applyAlignment="1" applyProtection="1" quotePrefix="1">
      <alignment/>
      <protection/>
    </xf>
    <xf numFmtId="210" fontId="2" fillId="0" borderId="0" xfId="0" applyNumberFormat="1" applyFont="1" applyAlignment="1">
      <alignment/>
    </xf>
    <xf numFmtId="210" fontId="2" fillId="0" borderId="13" xfId="42" applyNumberFormat="1" applyFont="1" applyBorder="1" applyAlignment="1" applyProtection="1" quotePrefix="1">
      <alignment/>
      <protection/>
    </xf>
    <xf numFmtId="39" fontId="2" fillId="0" borderId="0" xfId="0" applyNumberFormat="1" applyFont="1" applyFill="1" applyAlignment="1">
      <alignment horizontal="centerContinuous"/>
    </xf>
    <xf numFmtId="39" fontId="2" fillId="0" borderId="0" xfId="0" applyNumberFormat="1" applyFont="1" applyFill="1" applyBorder="1" applyAlignment="1">
      <alignment horizontal="centerContinuous"/>
    </xf>
    <xf numFmtId="39" fontId="2" fillId="0" borderId="0" xfId="0" applyNumberFormat="1" applyFont="1" applyBorder="1" applyAlignment="1">
      <alignment horizontal="right"/>
    </xf>
    <xf numFmtId="210" fontId="2" fillId="0" borderId="11" xfId="56" applyNumberFormat="1" applyFont="1" applyFill="1" applyBorder="1" applyAlignment="1" applyProtection="1" quotePrefix="1">
      <alignment/>
      <protection/>
    </xf>
    <xf numFmtId="210" fontId="2" fillId="0" borderId="10" xfId="56" applyNumberFormat="1" applyFont="1" applyFill="1" applyBorder="1" applyAlignment="1" applyProtection="1" quotePrefix="1">
      <alignment/>
      <protection/>
    </xf>
    <xf numFmtId="210" fontId="2" fillId="0" borderId="13" xfId="56" applyNumberFormat="1" applyFont="1" applyFill="1" applyBorder="1" applyAlignment="1" applyProtection="1" quotePrefix="1">
      <alignment/>
      <protection/>
    </xf>
    <xf numFmtId="39" fontId="2" fillId="0" borderId="0" xfId="42" applyNumberFormat="1" applyFont="1" applyFill="1" applyAlignment="1" applyProtection="1">
      <alignment/>
      <protection/>
    </xf>
    <xf numFmtId="39" fontId="2" fillId="0" borderId="0" xfId="42" applyNumberFormat="1" applyFont="1" applyFill="1" applyAlignment="1" applyProtection="1" quotePrefix="1">
      <alignment/>
      <protection/>
    </xf>
    <xf numFmtId="39" fontId="3" fillId="0" borderId="0" xfId="42" applyNumberFormat="1" applyFont="1" applyFill="1" applyAlignment="1" applyProtection="1" quotePrefix="1">
      <alignment/>
      <protection/>
    </xf>
    <xf numFmtId="39" fontId="2" fillId="0" borderId="0" xfId="42" applyNumberFormat="1" applyFont="1" applyFill="1" applyBorder="1" applyAlignment="1" applyProtection="1" quotePrefix="1">
      <alignment/>
      <protection/>
    </xf>
    <xf numFmtId="39" fontId="3" fillId="0" borderId="0" xfId="42" applyNumberFormat="1" applyFont="1" applyFill="1" applyAlignment="1" applyProtection="1" quotePrefix="1">
      <alignment horizontal="centerContinuous"/>
      <protection/>
    </xf>
    <xf numFmtId="223" fontId="3" fillId="0" borderId="0" xfId="0" applyNumberFormat="1" applyFont="1" applyAlignment="1">
      <alignment horizontal="left"/>
    </xf>
    <xf numFmtId="223" fontId="2" fillId="0" borderId="0" xfId="0" applyNumberFormat="1" applyFont="1" applyAlignment="1">
      <alignment horizontal="left"/>
    </xf>
    <xf numFmtId="39" fontId="3" fillId="0" borderId="0" xfId="0" applyNumberFormat="1" applyFont="1" applyFill="1" applyAlignment="1">
      <alignment horizontal="left"/>
    </xf>
    <xf numFmtId="39" fontId="2" fillId="0" borderId="0" xfId="0" applyNumberFormat="1" applyFont="1" applyFill="1" applyAlignment="1">
      <alignment horizontal="left"/>
    </xf>
    <xf numFmtId="39" fontId="2" fillId="0" borderId="0" xfId="42" applyNumberFormat="1" applyFont="1" applyFill="1" applyBorder="1" applyAlignment="1">
      <alignment/>
    </xf>
    <xf numFmtId="210" fontId="2" fillId="0" borderId="0" xfId="85" applyNumberFormat="1" applyFont="1" applyFill="1" applyAlignment="1">
      <alignment horizontal="center"/>
      <protection/>
    </xf>
    <xf numFmtId="39" fontId="2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43" fontId="17" fillId="0" borderId="0" xfId="42" applyFont="1" applyAlignment="1">
      <alignment/>
    </xf>
    <xf numFmtId="43" fontId="17" fillId="0" borderId="10" xfId="42" applyFont="1" applyBorder="1" applyAlignment="1">
      <alignment/>
    </xf>
    <xf numFmtId="38" fontId="2" fillId="0" borderId="0" xfId="0" applyNumberFormat="1" applyFont="1" applyAlignment="1">
      <alignment horizontal="centerContinuous"/>
    </xf>
    <xf numFmtId="38" fontId="2" fillId="0" borderId="0" xfId="0" applyNumberFormat="1" applyFont="1" applyAlignment="1">
      <alignment horizontal="center" vertical="center" textRotation="180"/>
    </xf>
    <xf numFmtId="38" fontId="2" fillId="0" borderId="0" xfId="0" applyNumberFormat="1" applyFont="1" applyAlignment="1">
      <alignment/>
    </xf>
    <xf numFmtId="38" fontId="3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38" fontId="2" fillId="0" borderId="10" xfId="0" applyNumberFormat="1" applyFont="1" applyBorder="1" applyAlignment="1">
      <alignment horizontal="centerContinuous"/>
    </xf>
    <xf numFmtId="1" fontId="2" fillId="0" borderId="12" xfId="0" applyNumberFormat="1" applyFont="1" applyBorder="1" applyAlignment="1" quotePrefix="1">
      <alignment horizontal="center"/>
    </xf>
    <xf numFmtId="1" fontId="2" fillId="0" borderId="0" xfId="0" applyNumberFormat="1" applyFont="1" applyAlignment="1">
      <alignment horizontal="center"/>
    </xf>
    <xf numFmtId="1" fontId="2" fillId="0" borderId="10" xfId="0" applyNumberFormat="1" applyFont="1" applyBorder="1" applyAlignment="1" quotePrefix="1">
      <alignment horizontal="center"/>
    </xf>
    <xf numFmtId="1" fontId="2" fillId="0" borderId="0" xfId="0" applyNumberFormat="1" applyFont="1" applyBorder="1" applyAlignment="1">
      <alignment horizontal="center"/>
    </xf>
    <xf numFmtId="215" fontId="2" fillId="0" borderId="0" xfId="0" applyNumberFormat="1" applyFont="1" applyFill="1" applyAlignment="1">
      <alignment/>
    </xf>
    <xf numFmtId="215" fontId="2" fillId="0" borderId="0" xfId="42" applyNumberFormat="1" applyFont="1" applyFill="1" applyAlignment="1">
      <alignment/>
    </xf>
    <xf numFmtId="215" fontId="2" fillId="0" borderId="10" xfId="0" applyNumberFormat="1" applyFont="1" applyFill="1" applyBorder="1" applyAlignment="1">
      <alignment/>
    </xf>
    <xf numFmtId="203" fontId="2" fillId="0" borderId="0" xfId="0" applyNumberFormat="1" applyFont="1" applyBorder="1" applyAlignment="1">
      <alignment/>
    </xf>
    <xf numFmtId="215" fontId="2" fillId="0" borderId="0" xfId="80" applyNumberFormat="1" applyFont="1">
      <alignment/>
      <protection/>
    </xf>
    <xf numFmtId="201" fontId="2" fillId="0" borderId="0" xfId="0" applyNumberFormat="1" applyFont="1" applyAlignment="1">
      <alignment/>
    </xf>
    <xf numFmtId="215" fontId="2" fillId="0" borderId="0" xfId="80" applyNumberFormat="1" applyFont="1" applyBorder="1">
      <alignment/>
      <protection/>
    </xf>
    <xf numFmtId="215" fontId="2" fillId="0" borderId="0" xfId="0" applyNumberFormat="1" applyFont="1" applyFill="1" applyBorder="1" applyAlignment="1">
      <alignment/>
    </xf>
    <xf numFmtId="215" fontId="2" fillId="0" borderId="10" xfId="80" applyNumberFormat="1" applyFont="1" applyBorder="1">
      <alignment/>
      <protection/>
    </xf>
    <xf numFmtId="215" fontId="2" fillId="0" borderId="13" xfId="0" applyNumberFormat="1" applyFont="1" applyFill="1" applyBorder="1" applyAlignment="1">
      <alignment/>
    </xf>
    <xf numFmtId="38" fontId="2" fillId="0" borderId="0" xfId="0" applyNumberFormat="1" applyFont="1" applyBorder="1" applyAlignment="1">
      <alignment/>
    </xf>
    <xf numFmtId="211" fontId="2" fillId="0" borderId="0" xfId="42" applyNumberFormat="1" applyFont="1" applyFill="1" applyBorder="1" applyAlignment="1">
      <alignment/>
    </xf>
    <xf numFmtId="211" fontId="2" fillId="0" borderId="0" xfId="42" applyNumberFormat="1" applyFont="1" applyFill="1" applyAlignment="1">
      <alignment/>
    </xf>
    <xf numFmtId="211" fontId="2" fillId="0" borderId="13" xfId="42" applyNumberFormat="1" applyFont="1" applyFill="1" applyBorder="1" applyAlignment="1">
      <alignment/>
    </xf>
    <xf numFmtId="215" fontId="2" fillId="0" borderId="0" xfId="76" applyNumberFormat="1" applyFont="1" applyFill="1" applyAlignment="1">
      <alignment horizontal="right"/>
      <protection/>
    </xf>
    <xf numFmtId="215" fontId="2" fillId="0" borderId="0" xfId="76" applyNumberFormat="1" applyFont="1" applyFill="1">
      <alignment/>
      <protection/>
    </xf>
    <xf numFmtId="215" fontId="2" fillId="0" borderId="0" xfId="50" applyNumberFormat="1" applyFont="1" applyFill="1" applyAlignment="1">
      <alignment/>
    </xf>
    <xf numFmtId="215" fontId="2" fillId="0" borderId="10" xfId="76" applyNumberFormat="1" applyFont="1" applyFill="1" applyBorder="1">
      <alignment/>
      <protection/>
    </xf>
    <xf numFmtId="215" fontId="2" fillId="0" borderId="0" xfId="80" applyNumberFormat="1" applyFont="1" applyFill="1">
      <alignment/>
      <protection/>
    </xf>
    <xf numFmtId="215" fontId="2" fillId="0" borderId="0" xfId="58" applyNumberFormat="1" applyFont="1" applyFill="1" applyAlignment="1">
      <alignment/>
    </xf>
    <xf numFmtId="215" fontId="2" fillId="0" borderId="0" xfId="76" applyNumberFormat="1" applyFont="1" applyFill="1" applyBorder="1">
      <alignment/>
      <protection/>
    </xf>
    <xf numFmtId="215" fontId="2" fillId="0" borderId="13" xfId="80" applyNumberFormat="1" applyFont="1" applyBorder="1">
      <alignment/>
      <protection/>
    </xf>
    <xf numFmtId="39" fontId="2" fillId="0" borderId="0" xfId="80" applyNumberFormat="1" applyFont="1">
      <alignment/>
      <protection/>
    </xf>
    <xf numFmtId="211" fontId="2" fillId="0" borderId="0" xfId="50" applyNumberFormat="1" applyFont="1" applyFill="1" applyBorder="1" applyAlignment="1">
      <alignment/>
    </xf>
    <xf numFmtId="37" fontId="2" fillId="0" borderId="0" xfId="76" applyNumberFormat="1" applyFont="1" applyFill="1">
      <alignment/>
      <protection/>
    </xf>
    <xf numFmtId="211" fontId="2" fillId="0" borderId="13" xfId="58" applyNumberFormat="1" applyFont="1" applyBorder="1" applyAlignment="1">
      <alignment/>
    </xf>
    <xf numFmtId="37" fontId="2" fillId="0" borderId="0" xfId="80" applyNumberFormat="1" applyFont="1">
      <alignment/>
      <protection/>
    </xf>
    <xf numFmtId="40" fontId="2" fillId="0" borderId="0" xfId="0" applyNumberFormat="1" applyFont="1" applyAlignment="1" quotePrefix="1">
      <alignment horizontal="centerContinuous"/>
    </xf>
    <xf numFmtId="40" fontId="3" fillId="0" borderId="0" xfId="0" applyNumberFormat="1" applyFont="1" applyAlignment="1">
      <alignment/>
    </xf>
    <xf numFmtId="39" fontId="3" fillId="0" borderId="0" xfId="93" applyNumberFormat="1" applyFont="1" applyAlignment="1" applyProtection="1">
      <alignment horizontal="centerContinuous"/>
      <protection/>
    </xf>
    <xf numFmtId="39" fontId="3" fillId="0" borderId="0" xfId="42" applyNumberFormat="1" applyFont="1" applyAlignment="1">
      <alignment horizontal="right"/>
    </xf>
    <xf numFmtId="39" fontId="3" fillId="0" borderId="0" xfId="93" applyNumberFormat="1" applyFont="1" applyBorder="1" applyAlignment="1" applyProtection="1" quotePrefix="1">
      <alignment horizontal="centerContinuous"/>
      <protection/>
    </xf>
    <xf numFmtId="39" fontId="3" fillId="0" borderId="0" xfId="0" applyNumberFormat="1" applyFont="1" applyBorder="1" applyAlignment="1">
      <alignment horizontal="center"/>
    </xf>
    <xf numFmtId="40" fontId="41" fillId="0" borderId="0" xfId="0" applyNumberFormat="1" applyFont="1" applyAlignment="1">
      <alignment/>
    </xf>
    <xf numFmtId="43" fontId="2" fillId="0" borderId="0" xfId="42" applyFont="1" applyFill="1" applyAlignment="1">
      <alignment horizontal="center"/>
    </xf>
    <xf numFmtId="40" fontId="2" fillId="0" borderId="0" xfId="42" applyNumberFormat="1" applyFont="1" applyBorder="1" applyAlignment="1">
      <alignment/>
    </xf>
    <xf numFmtId="40" fontId="2" fillId="0" borderId="0" xfId="42" applyNumberFormat="1" applyFont="1" applyAlignment="1">
      <alignment horizontal="center"/>
    </xf>
    <xf numFmtId="40" fontId="41" fillId="0" borderId="0" xfId="42" applyNumberFormat="1" applyFont="1" applyFill="1" applyAlignment="1">
      <alignment/>
    </xf>
    <xf numFmtId="40" fontId="41" fillId="0" borderId="0" xfId="0" applyNumberFormat="1" applyFont="1" applyFill="1" applyAlignment="1">
      <alignment/>
    </xf>
    <xf numFmtId="39" fontId="8" fillId="0" borderId="0" xfId="0" applyNumberFormat="1" applyFont="1" applyFill="1" applyAlignment="1" quotePrefix="1">
      <alignment horizontal="center"/>
    </xf>
    <xf numFmtId="39" fontId="7" fillId="0" borderId="0" xfId="0" applyNumberFormat="1" applyFont="1" applyFill="1" applyAlignment="1">
      <alignment/>
    </xf>
    <xf numFmtId="40" fontId="7" fillId="0" borderId="0" xfId="0" applyNumberFormat="1" applyFont="1" applyFill="1" applyBorder="1" applyAlignment="1">
      <alignment/>
    </xf>
    <xf numFmtId="43" fontId="7" fillId="0" borderId="0" xfId="42" applyFont="1" applyFill="1" applyAlignment="1">
      <alignment horizontal="right"/>
    </xf>
    <xf numFmtId="208" fontId="7" fillId="0" borderId="0" xfId="42" applyNumberFormat="1" applyFont="1" applyFill="1" applyAlignment="1">
      <alignment horizontal="right"/>
    </xf>
    <xf numFmtId="43" fontId="2" fillId="0" borderId="0" xfId="42" applyFont="1" applyBorder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208" fontId="7" fillId="0" borderId="0" xfId="0" applyNumberFormat="1" applyFont="1" applyFill="1" applyAlignment="1">
      <alignment/>
    </xf>
    <xf numFmtId="0" fontId="2" fillId="0" borderId="0" xfId="0" applyFont="1" applyBorder="1" applyAlignment="1">
      <alignment horizontal="center"/>
    </xf>
    <xf numFmtId="40" fontId="7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3" fontId="2" fillId="0" borderId="0" xfId="42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Continuous" vertical="center"/>
    </xf>
    <xf numFmtId="212" fontId="41" fillId="0" borderId="0" xfId="0" applyNumberFormat="1" applyFont="1" applyAlignment="1" quotePrefix="1">
      <alignment horizontal="center"/>
    </xf>
    <xf numFmtId="212" fontId="41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9" fontId="2" fillId="0" borderId="0" xfId="0" applyNumberFormat="1" applyFont="1" applyAlignment="1">
      <alignment horizontal="center"/>
    </xf>
    <xf numFmtId="0" fontId="2" fillId="0" borderId="11" xfId="0" applyFont="1" applyBorder="1" applyAlignment="1">
      <alignment horizontal="center"/>
    </xf>
    <xf numFmtId="43" fontId="41" fillId="0" borderId="0" xfId="42" applyFont="1" applyAlignment="1">
      <alignment/>
    </xf>
    <xf numFmtId="43" fontId="41" fillId="0" borderId="0" xfId="42" applyFont="1" applyAlignment="1">
      <alignment horizontal="right"/>
    </xf>
    <xf numFmtId="43" fontId="41" fillId="0" borderId="0" xfId="42" applyFont="1" applyAlignment="1">
      <alignment horizontal="center"/>
    </xf>
    <xf numFmtId="10" fontId="41" fillId="0" borderId="0" xfId="89" applyNumberFormat="1" applyFont="1" applyAlignment="1" quotePrefix="1">
      <alignment horizontal="right"/>
    </xf>
    <xf numFmtId="10" fontId="41" fillId="0" borderId="0" xfId="89" applyNumberFormat="1" applyFont="1" applyAlignment="1">
      <alignment/>
    </xf>
    <xf numFmtId="43" fontId="43" fillId="0" borderId="0" xfId="42" applyFont="1" applyAlignment="1">
      <alignment/>
    </xf>
    <xf numFmtId="10" fontId="41" fillId="0" borderId="0" xfId="89" applyNumberFormat="1" applyFont="1" applyAlignment="1">
      <alignment horizontal="right"/>
    </xf>
    <xf numFmtId="49" fontId="2" fillId="0" borderId="16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7" xfId="0" applyFont="1" applyBorder="1" applyAlignment="1">
      <alignment/>
    </xf>
    <xf numFmtId="49" fontId="2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/>
    </xf>
    <xf numFmtId="49" fontId="2" fillId="0" borderId="20" xfId="0" applyNumberFormat="1" applyFont="1" applyBorder="1" applyAlignment="1">
      <alignment horizontal="center"/>
    </xf>
    <xf numFmtId="0" fontId="2" fillId="0" borderId="21" xfId="0" applyFont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39" fontId="43" fillId="0" borderId="0" xfId="93" applyNumberFormat="1" applyFont="1" applyFill="1" applyAlignment="1">
      <alignment horizontal="center"/>
      <protection/>
    </xf>
    <xf numFmtId="39" fontId="43" fillId="0" borderId="10" xfId="93" applyNumberFormat="1" applyFont="1" applyFill="1" applyBorder="1" applyAlignment="1">
      <alignment horizontal="center"/>
      <protection/>
    </xf>
    <xf numFmtId="39" fontId="43" fillId="0" borderId="0" xfId="93" applyNumberFormat="1" applyFont="1" applyAlignment="1">
      <alignment horizontal="center"/>
      <protection/>
    </xf>
    <xf numFmtId="207" fontId="43" fillId="0" borderId="0" xfId="93" applyNumberFormat="1" applyFont="1" applyFill="1" applyAlignment="1">
      <alignment horizontal="center"/>
      <protection/>
    </xf>
    <xf numFmtId="207" fontId="43" fillId="0" borderId="10" xfId="93" applyNumberFormat="1" applyFont="1" applyFill="1" applyBorder="1" applyAlignment="1">
      <alignment horizontal="center"/>
      <protection/>
    </xf>
    <xf numFmtId="39" fontId="3" fillId="0" borderId="10" xfId="0" applyNumberFormat="1" applyFont="1" applyFill="1" applyBorder="1" applyAlignment="1">
      <alignment/>
    </xf>
    <xf numFmtId="213" fontId="2" fillId="0" borderId="0" xfId="0" applyNumberFormat="1" applyFont="1" applyFill="1" applyBorder="1" applyAlignment="1">
      <alignment/>
    </xf>
    <xf numFmtId="39" fontId="43" fillId="0" borderId="0" xfId="0" applyNumberFormat="1" applyFont="1" applyFill="1" applyBorder="1" applyAlignment="1">
      <alignment/>
    </xf>
    <xf numFmtId="39" fontId="43" fillId="0" borderId="10" xfId="0" applyNumberFormat="1" applyFont="1" applyFill="1" applyBorder="1" applyAlignment="1">
      <alignment/>
    </xf>
    <xf numFmtId="39" fontId="3" fillId="0" borderId="0" xfId="93" applyNumberFormat="1" applyFont="1" applyAlignment="1">
      <alignment/>
      <protection/>
    </xf>
    <xf numFmtId="39" fontId="3" fillId="0" borderId="0" xfId="93" applyNumberFormat="1" applyFont="1" applyAlignment="1">
      <alignment horizontal="right"/>
      <protection/>
    </xf>
    <xf numFmtId="39" fontId="3" fillId="0" borderId="0" xfId="93" applyNumberFormat="1" applyFont="1" applyAlignment="1">
      <alignment horizontal="center"/>
      <protection/>
    </xf>
    <xf numFmtId="39" fontId="3" fillId="0" borderId="10" xfId="93" applyNumberFormat="1" applyFont="1" applyBorder="1" applyAlignment="1">
      <alignment horizontal="center"/>
      <protection/>
    </xf>
    <xf numFmtId="39" fontId="43" fillId="0" borderId="10" xfId="93" applyNumberFormat="1" applyFont="1" applyBorder="1" applyAlignment="1">
      <alignment horizontal="center"/>
      <protection/>
    </xf>
    <xf numFmtId="39" fontId="43" fillId="0" borderId="0" xfId="0" applyNumberFormat="1" applyFont="1" applyBorder="1" applyAlignment="1">
      <alignment/>
    </xf>
    <xf numFmtId="39" fontId="43" fillId="0" borderId="10" xfId="93" applyNumberFormat="1" applyFont="1" applyBorder="1" applyAlignment="1">
      <alignment horizontal="right"/>
      <protection/>
    </xf>
    <xf numFmtId="39" fontId="43" fillId="0" borderId="10" xfId="0" applyNumberFormat="1" applyFont="1" applyBorder="1" applyAlignment="1">
      <alignment/>
    </xf>
    <xf numFmtId="39" fontId="3" fillId="0" borderId="0" xfId="93" applyNumberFormat="1" applyFont="1" applyBorder="1" applyAlignment="1">
      <alignment/>
      <protection/>
    </xf>
    <xf numFmtId="40" fontId="2" fillId="0" borderId="0" xfId="93" applyNumberFormat="1" applyFont="1" applyFill="1">
      <alignment/>
      <protection/>
    </xf>
    <xf numFmtId="40" fontId="2" fillId="0" borderId="0" xfId="48" applyNumberFormat="1" applyFont="1" applyFill="1" applyAlignment="1">
      <alignment/>
    </xf>
    <xf numFmtId="40" fontId="2" fillId="0" borderId="0" xfId="0" applyNumberFormat="1" applyFont="1" applyFill="1" applyBorder="1" applyAlignment="1">
      <alignment/>
    </xf>
    <xf numFmtId="0" fontId="40" fillId="0" borderId="0" xfId="81" applyFont="1" applyFill="1">
      <alignment/>
      <protection/>
    </xf>
    <xf numFmtId="208" fontId="2" fillId="0" borderId="0" xfId="0" applyNumberFormat="1" applyFont="1" applyFill="1" applyAlignment="1">
      <alignment/>
    </xf>
    <xf numFmtId="208" fontId="2" fillId="0" borderId="0" xfId="0" applyNumberFormat="1" applyFont="1" applyFill="1" applyAlignment="1">
      <alignment horizontal="center"/>
    </xf>
    <xf numFmtId="43" fontId="9" fillId="0" borderId="0" xfId="42" applyFont="1" applyFill="1" applyAlignment="1">
      <alignment/>
    </xf>
    <xf numFmtId="43" fontId="9" fillId="0" borderId="0" xfId="42" applyFont="1" applyFill="1" applyBorder="1" applyAlignment="1">
      <alignment vertical="center"/>
    </xf>
    <xf numFmtId="43" fontId="9" fillId="0" borderId="0" xfId="42" applyFont="1" applyFill="1" applyAlignment="1" quotePrefix="1">
      <alignment/>
    </xf>
    <xf numFmtId="43" fontId="9" fillId="0" borderId="0" xfId="42" applyFont="1" applyFill="1" applyBorder="1" applyAlignment="1">
      <alignment/>
    </xf>
    <xf numFmtId="210" fontId="9" fillId="0" borderId="0" xfId="83" applyNumberFormat="1" applyFont="1" applyFill="1" applyAlignment="1" quotePrefix="1">
      <alignment horizontal="center"/>
      <protection/>
    </xf>
    <xf numFmtId="38" fontId="9" fillId="0" borderId="0" xfId="0" applyNumberFormat="1" applyFont="1" applyFill="1" applyAlignment="1">
      <alignment horizontal="center"/>
    </xf>
    <xf numFmtId="220" fontId="9" fillId="0" borderId="0" xfId="61" applyNumberFormat="1" applyFont="1" applyFill="1" applyBorder="1" applyAlignment="1">
      <alignment/>
    </xf>
    <xf numFmtId="40" fontId="9" fillId="0" borderId="0" xfId="0" applyNumberFormat="1" applyFont="1" applyFill="1" applyBorder="1" applyAlignment="1">
      <alignment/>
    </xf>
    <xf numFmtId="217" fontId="2" fillId="0" borderId="0" xfId="42" applyNumberFormat="1" applyFont="1" applyFill="1" applyBorder="1" applyAlignment="1" applyProtection="1" quotePrefix="1">
      <alignment/>
      <protection/>
    </xf>
    <xf numFmtId="206" fontId="2" fillId="0" borderId="0" xfId="0" applyNumberFormat="1" applyFont="1" applyAlignment="1">
      <alignment/>
    </xf>
    <xf numFmtId="0" fontId="21" fillId="0" borderId="0" xfId="75" applyFont="1">
      <alignment/>
      <protection/>
    </xf>
    <xf numFmtId="0" fontId="20" fillId="0" borderId="0" xfId="75" applyFont="1">
      <alignment/>
      <protection/>
    </xf>
    <xf numFmtId="39" fontId="20" fillId="0" borderId="0" xfId="75" applyNumberFormat="1" applyFont="1">
      <alignment/>
      <protection/>
    </xf>
    <xf numFmtId="39" fontId="20" fillId="0" borderId="0" xfId="75" applyNumberFormat="1" applyFont="1" applyAlignment="1">
      <alignment horizontal="right"/>
      <protection/>
    </xf>
    <xf numFmtId="39" fontId="20" fillId="0" borderId="0" xfId="75" applyNumberFormat="1" applyFont="1" applyBorder="1" applyAlignment="1" quotePrefix="1">
      <alignment horizontal="center"/>
      <protection/>
    </xf>
    <xf numFmtId="0" fontId="20" fillId="0" borderId="0" xfId="75" applyFont="1" applyBorder="1" applyAlignment="1">
      <alignment horizontal="center"/>
      <protection/>
    </xf>
    <xf numFmtId="16" fontId="20" fillId="0" borderId="0" xfId="75" applyNumberFormat="1" applyFont="1" applyBorder="1" applyAlignment="1" quotePrefix="1">
      <alignment horizontal="center"/>
      <protection/>
    </xf>
    <xf numFmtId="43" fontId="20" fillId="0" borderId="0" xfId="45" applyFont="1" applyBorder="1" applyAlignment="1">
      <alignment/>
    </xf>
    <xf numFmtId="0" fontId="20" fillId="0" borderId="0" xfId="75" applyFont="1" applyFill="1">
      <alignment/>
      <protection/>
    </xf>
    <xf numFmtId="43" fontId="20" fillId="0" borderId="0" xfId="45" applyFont="1" applyAlignment="1">
      <alignment/>
    </xf>
    <xf numFmtId="43" fontId="20" fillId="0" borderId="0" xfId="45" applyFont="1" applyFill="1" applyBorder="1" applyAlignment="1">
      <alignment/>
    </xf>
    <xf numFmtId="0" fontId="20" fillId="0" borderId="0" xfId="75" applyFont="1" applyAlignment="1">
      <alignment vertical="center"/>
      <protection/>
    </xf>
    <xf numFmtId="43" fontId="2" fillId="0" borderId="0" xfId="56" applyFont="1" applyFill="1" applyBorder="1" applyAlignment="1">
      <alignment/>
    </xf>
    <xf numFmtId="43" fontId="2" fillId="0" borderId="0" xfId="56" applyFont="1" applyFill="1" applyAlignment="1">
      <alignment/>
    </xf>
    <xf numFmtId="40" fontId="2" fillId="0" borderId="0" xfId="0" applyNumberFormat="1" applyFont="1" applyFill="1" applyBorder="1" applyAlignment="1">
      <alignment/>
    </xf>
    <xf numFmtId="40" fontId="2" fillId="0" borderId="0" xfId="42" applyNumberFormat="1" applyFont="1" applyFill="1" applyAlignment="1" applyProtection="1" quotePrefix="1">
      <alignment/>
      <protection/>
    </xf>
    <xf numFmtId="40" fontId="3" fillId="0" borderId="0" xfId="93" applyNumberFormat="1" applyFont="1" applyFill="1" applyAlignment="1">
      <alignment/>
      <protection/>
    </xf>
    <xf numFmtId="0" fontId="2" fillId="0" borderId="0" xfId="42" applyNumberFormat="1" applyFont="1" applyFill="1" applyAlignment="1" applyProtection="1" quotePrefix="1">
      <alignment/>
      <protection/>
    </xf>
    <xf numFmtId="0" fontId="2" fillId="0" borderId="0" xfId="0" applyNumberFormat="1" applyFont="1" applyFill="1" applyAlignment="1">
      <alignment/>
    </xf>
    <xf numFmtId="221" fontId="7" fillId="0" borderId="0" xfId="42" applyNumberFormat="1" applyFont="1" applyFill="1" applyAlignment="1">
      <alignment horizontal="right"/>
    </xf>
    <xf numFmtId="0" fontId="7" fillId="0" borderId="0" xfId="0" applyFont="1" applyFill="1" applyBorder="1" applyAlignment="1" quotePrefix="1">
      <alignment horizontal="center"/>
    </xf>
    <xf numFmtId="208" fontId="7" fillId="0" borderId="0" xfId="0" applyNumberFormat="1" applyFont="1" applyFill="1" applyBorder="1" applyAlignment="1">
      <alignment horizontal="center"/>
    </xf>
    <xf numFmtId="208" fontId="7" fillId="0" borderId="0" xfId="42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43" fontId="7" fillId="0" borderId="0" xfId="42" applyFont="1" applyFill="1" applyBorder="1" applyAlignment="1">
      <alignment/>
    </xf>
    <xf numFmtId="40" fontId="2" fillId="0" borderId="0" xfId="45" applyNumberFormat="1" applyFont="1" applyAlignment="1">
      <alignment/>
    </xf>
    <xf numFmtId="0" fontId="2" fillId="0" borderId="0" xfId="0" applyFont="1" applyFill="1" applyAlignment="1" quotePrefix="1">
      <alignment horizontal="centerContinuous"/>
    </xf>
    <xf numFmtId="0" fontId="2" fillId="0" borderId="0" xfId="0" applyFont="1" applyFill="1" applyAlignment="1">
      <alignment horizontal="left"/>
    </xf>
    <xf numFmtId="2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39" fontId="2" fillId="0" borderId="12" xfId="42" applyNumberFormat="1" applyFont="1" applyFill="1" applyBorder="1" applyAlignment="1">
      <alignment/>
    </xf>
    <xf numFmtId="208" fontId="7" fillId="0" borderId="0" xfId="0" applyNumberFormat="1" applyFont="1" applyFill="1" applyAlignment="1" quotePrefix="1">
      <alignment horizontal="center"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210" fontId="9" fillId="0" borderId="0" xfId="0" applyNumberFormat="1" applyFont="1" applyAlignment="1">
      <alignment/>
    </xf>
    <xf numFmtId="38" fontId="9" fillId="0" borderId="0" xfId="83" applyNumberFormat="1" applyFont="1" applyFill="1" applyBorder="1" applyAlignment="1">
      <alignment horizontal="center"/>
      <protection/>
    </xf>
    <xf numFmtId="208" fontId="7" fillId="0" borderId="0" xfId="0" applyNumberFormat="1" applyFont="1" applyFill="1" applyBorder="1" applyAlignment="1">
      <alignment/>
    </xf>
    <xf numFmtId="208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 quotePrefix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3" fontId="7" fillId="0" borderId="0" xfId="42" applyFont="1" applyFill="1" applyBorder="1" applyAlignment="1">
      <alignment vertical="center"/>
    </xf>
    <xf numFmtId="208" fontId="7" fillId="0" borderId="0" xfId="42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/>
    </xf>
    <xf numFmtId="40" fontId="7" fillId="0" borderId="0" xfId="0" applyNumberFormat="1" applyFont="1" applyFill="1" applyBorder="1" applyAlignment="1">
      <alignment/>
    </xf>
    <xf numFmtId="0" fontId="7" fillId="0" borderId="0" xfId="75" applyFont="1" applyFill="1" applyBorder="1" applyAlignment="1">
      <alignment horizontal="center"/>
      <protection/>
    </xf>
    <xf numFmtId="210" fontId="9" fillId="0" borderId="10" xfId="83" applyNumberFormat="1" applyFont="1" applyFill="1" applyBorder="1" applyAlignment="1">
      <alignment/>
      <protection/>
    </xf>
    <xf numFmtId="208" fontId="9" fillId="0" borderId="0" xfId="0" applyNumberFormat="1" applyFont="1" applyFill="1" applyAlignment="1" quotePrefix="1">
      <alignment horizontal="centerContinuous"/>
    </xf>
    <xf numFmtId="208" fontId="9" fillId="0" borderId="0" xfId="0" applyNumberFormat="1" applyFont="1" applyFill="1" applyAlignment="1">
      <alignment horizontal="centerContinuous"/>
    </xf>
    <xf numFmtId="208" fontId="8" fillId="0" borderId="0" xfId="0" applyNumberFormat="1" applyFont="1" applyFill="1" applyAlignment="1">
      <alignment/>
    </xf>
    <xf numFmtId="208" fontId="8" fillId="0" borderId="10" xfId="0" applyNumberFormat="1" applyFont="1" applyFill="1" applyBorder="1" applyAlignment="1">
      <alignment/>
    </xf>
    <xf numFmtId="208" fontId="7" fillId="0" borderId="10" xfId="0" applyNumberFormat="1" applyFont="1" applyFill="1" applyBorder="1" applyAlignment="1">
      <alignment/>
    </xf>
    <xf numFmtId="208" fontId="9" fillId="0" borderId="10" xfId="0" applyNumberFormat="1" applyFont="1" applyFill="1" applyBorder="1" applyAlignment="1">
      <alignment/>
    </xf>
    <xf numFmtId="208" fontId="9" fillId="0" borderId="10" xfId="48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Continuous" vertical="center"/>
    </xf>
    <xf numFmtId="40" fontId="11" fillId="0" borderId="11" xfId="93" applyNumberFormat="1" applyFont="1" applyFill="1" applyBorder="1" applyAlignment="1" applyProtection="1">
      <alignment horizontal="center"/>
      <protection/>
    </xf>
    <xf numFmtId="40" fontId="9" fillId="0" borderId="0" xfId="0" applyNumberFormat="1" applyFont="1" applyFill="1" applyBorder="1" applyAlignment="1">
      <alignment/>
    </xf>
    <xf numFmtId="40" fontId="11" fillId="0" borderId="0" xfId="93" applyNumberFormat="1" applyFont="1" applyFill="1" applyBorder="1" applyAlignment="1" applyProtection="1">
      <alignment horizontal="center"/>
      <protection/>
    </xf>
    <xf numFmtId="204" fontId="11" fillId="0" borderId="0" xfId="93" applyNumberFormat="1" applyFont="1" applyFill="1" applyBorder="1" applyAlignment="1">
      <alignment horizontal="center"/>
      <protection/>
    </xf>
    <xf numFmtId="40" fontId="13" fillId="0" borderId="10" xfId="0" applyNumberFormat="1" applyFont="1" applyFill="1" applyBorder="1" applyAlignment="1">
      <alignment/>
    </xf>
    <xf numFmtId="40" fontId="14" fillId="0" borderId="0" xfId="0" applyNumberFormat="1" applyFont="1" applyFill="1" applyAlignment="1">
      <alignment/>
    </xf>
    <xf numFmtId="208" fontId="8" fillId="0" borderId="0" xfId="0" applyNumberFormat="1" applyFont="1" applyFill="1" applyBorder="1" applyAlignment="1">
      <alignment/>
    </xf>
    <xf numFmtId="208" fontId="9" fillId="0" borderId="0" xfId="48" applyNumberFormat="1" applyFont="1" applyFill="1" applyBorder="1" applyAlignment="1">
      <alignment/>
    </xf>
    <xf numFmtId="208" fontId="9" fillId="0" borderId="0" xfId="0" applyNumberFormat="1" applyFont="1" applyFill="1" applyBorder="1" applyAlignment="1" quotePrefix="1">
      <alignment horizontal="center"/>
    </xf>
    <xf numFmtId="208" fontId="7" fillId="0" borderId="0" xfId="0" applyNumberFormat="1" applyFont="1" applyFill="1" applyAlignment="1" quotePrefix="1">
      <alignment horizontal="centerContinuous"/>
    </xf>
    <xf numFmtId="208" fontId="8" fillId="0" borderId="10" xfId="0" applyNumberFormat="1" applyFont="1" applyFill="1" applyBorder="1" applyAlignment="1">
      <alignment horizontal="left"/>
    </xf>
    <xf numFmtId="208" fontId="9" fillId="0" borderId="0" xfId="0" applyNumberFormat="1" applyFont="1" applyFill="1" applyBorder="1" applyAlignment="1">
      <alignment/>
    </xf>
    <xf numFmtId="205" fontId="11" fillId="0" borderId="12" xfId="93" applyNumberFormat="1" applyFont="1" applyFill="1" applyBorder="1" applyAlignment="1" applyProtection="1">
      <alignment horizontal="centerContinuous"/>
      <protection/>
    </xf>
    <xf numFmtId="205" fontId="11" fillId="0" borderId="11" xfId="93" applyNumberFormat="1" applyFont="1" applyFill="1" applyBorder="1" applyAlignment="1" applyProtection="1">
      <alignment horizontal="centerContinuous"/>
      <protection/>
    </xf>
    <xf numFmtId="208" fontId="12" fillId="0" borderId="0" xfId="0" applyNumberFormat="1" applyFont="1" applyFill="1" applyAlignment="1">
      <alignment horizontal="center"/>
    </xf>
    <xf numFmtId="208" fontId="11" fillId="0" borderId="0" xfId="0" applyNumberFormat="1" applyFont="1" applyFill="1" applyBorder="1" applyAlignment="1">
      <alignment horizontal="center"/>
    </xf>
    <xf numFmtId="208" fontId="11" fillId="0" borderId="0" xfId="0" applyNumberFormat="1" applyFont="1" applyFill="1" applyAlignment="1">
      <alignment/>
    </xf>
    <xf numFmtId="208" fontId="9" fillId="0" borderId="0" xfId="0" applyNumberFormat="1" applyFont="1" applyFill="1" applyBorder="1" applyAlignment="1">
      <alignment horizontal="left"/>
    </xf>
    <xf numFmtId="210" fontId="9" fillId="0" borderId="0" xfId="83" applyNumberFormat="1" applyFont="1" applyFill="1" applyBorder="1" applyAlignment="1" quotePrefix="1">
      <alignment/>
      <protection/>
    </xf>
    <xf numFmtId="0" fontId="9" fillId="0" borderId="0" xfId="83" applyFont="1" applyFill="1" applyBorder="1" applyAlignment="1">
      <alignment horizontal="left"/>
      <protection/>
    </xf>
    <xf numFmtId="0" fontId="9" fillId="0" borderId="0" xfId="83" applyFont="1" applyFill="1" applyAlignment="1">
      <alignment horizontal="center"/>
      <protection/>
    </xf>
    <xf numFmtId="208" fontId="7" fillId="0" borderId="0" xfId="0" applyNumberFormat="1" applyFont="1" applyFill="1" applyBorder="1" applyAlignment="1">
      <alignment horizontal="left"/>
    </xf>
    <xf numFmtId="208" fontId="11" fillId="0" borderId="0" xfId="0" applyNumberFormat="1" applyFont="1" applyFill="1" applyBorder="1" applyAlignment="1">
      <alignment/>
    </xf>
    <xf numFmtId="40" fontId="41" fillId="0" borderId="0" xfId="0" applyNumberFormat="1" applyFont="1" applyFill="1" applyAlignment="1">
      <alignment horizontal="center"/>
    </xf>
    <xf numFmtId="40" fontId="41" fillId="0" borderId="0" xfId="42" applyNumberFormat="1" applyFont="1" applyFill="1" applyAlignment="1">
      <alignment horizontal="center"/>
    </xf>
    <xf numFmtId="40" fontId="8" fillId="0" borderId="0" xfId="0" applyNumberFormat="1" applyFont="1" applyFill="1" applyAlignment="1">
      <alignment/>
    </xf>
    <xf numFmtId="40" fontId="7" fillId="0" borderId="0" xfId="0" applyNumberFormat="1" applyFont="1" applyFill="1" applyAlignment="1">
      <alignment horizontal="center"/>
    </xf>
    <xf numFmtId="40" fontId="7" fillId="0" borderId="0" xfId="42" applyNumberFormat="1" applyFont="1" applyFill="1" applyAlignment="1">
      <alignment horizontal="center"/>
    </xf>
    <xf numFmtId="40" fontId="7" fillId="0" borderId="0" xfId="42" applyNumberFormat="1" applyFont="1" applyFill="1" applyAlignment="1">
      <alignment/>
    </xf>
    <xf numFmtId="39" fontId="3" fillId="0" borderId="0" xfId="93" applyNumberFormat="1" applyFont="1" applyFill="1" applyAlignment="1" applyProtection="1">
      <alignment horizontal="centerContinuous"/>
      <protection/>
    </xf>
    <xf numFmtId="39" fontId="3" fillId="0" borderId="0" xfId="42" applyNumberFormat="1" applyFont="1" applyFill="1" applyAlignment="1">
      <alignment horizontal="right"/>
    </xf>
    <xf numFmtId="40" fontId="8" fillId="0" borderId="0" xfId="0" applyNumberFormat="1" applyFont="1" applyFill="1" applyAlignment="1">
      <alignment horizontal="center"/>
    </xf>
    <xf numFmtId="40" fontId="7" fillId="0" borderId="0" xfId="0" applyNumberFormat="1" applyFont="1" applyFill="1" applyBorder="1" applyAlignment="1" quotePrefix="1">
      <alignment horizontal="center"/>
    </xf>
    <xf numFmtId="40" fontId="7" fillId="0" borderId="0" xfId="42" applyNumberFormat="1" applyFont="1" applyFill="1" applyBorder="1" applyAlignment="1">
      <alignment/>
    </xf>
    <xf numFmtId="43" fontId="7" fillId="0" borderId="0" xfId="42" applyFont="1" applyFill="1" applyBorder="1" applyAlignment="1">
      <alignment horizontal="right"/>
    </xf>
    <xf numFmtId="40" fontId="2" fillId="0" borderId="0" xfId="42" applyNumberFormat="1" applyFont="1" applyFill="1" applyAlignment="1">
      <alignment/>
    </xf>
    <xf numFmtId="43" fontId="7" fillId="0" borderId="13" xfId="0" applyNumberFormat="1" applyFont="1" applyFill="1" applyBorder="1" applyAlignment="1">
      <alignment/>
    </xf>
    <xf numFmtId="43" fontId="7" fillId="0" borderId="0" xfId="0" applyNumberFormat="1" applyFont="1" applyFill="1" applyBorder="1" applyAlignment="1">
      <alignment/>
    </xf>
    <xf numFmtId="39" fontId="8" fillId="0" borderId="0" xfId="93" applyNumberFormat="1" applyFont="1" applyFill="1" applyAlignment="1" applyProtection="1">
      <alignment horizontal="centerContinuous"/>
      <protection/>
    </xf>
    <xf numFmtId="39" fontId="8" fillId="0" borderId="0" xfId="42" applyNumberFormat="1" applyFont="1" applyFill="1" applyAlignment="1">
      <alignment horizontal="right"/>
    </xf>
    <xf numFmtId="43" fontId="7" fillId="0" borderId="0" xfId="42" applyFont="1" applyFill="1" applyAlignment="1">
      <alignment/>
    </xf>
    <xf numFmtId="40" fontId="7" fillId="0" borderId="0" xfId="0" applyNumberFormat="1" applyFont="1" applyFill="1" applyAlignment="1" quotePrefix="1">
      <alignment horizontal="center"/>
    </xf>
    <xf numFmtId="43" fontId="42" fillId="0" borderId="0" xfId="42" applyFont="1" applyFill="1" applyAlignment="1">
      <alignment horizontal="right"/>
    </xf>
    <xf numFmtId="40" fontId="2" fillId="0" borderId="0" xfId="0" applyNumberFormat="1" applyFont="1" applyFill="1" applyAlignment="1">
      <alignment horizontal="right"/>
    </xf>
    <xf numFmtId="208" fontId="7" fillId="0" borderId="0" xfId="42" applyNumberFormat="1" applyFont="1" applyFill="1" applyAlignment="1">
      <alignment/>
    </xf>
    <xf numFmtId="208" fontId="7" fillId="0" borderId="0" xfId="0" applyNumberFormat="1" applyFont="1" applyFill="1" applyBorder="1" applyAlignment="1" quotePrefix="1">
      <alignment horizontal="center" vertical="center"/>
    </xf>
    <xf numFmtId="208" fontId="7" fillId="0" borderId="0" xfId="0" applyNumberFormat="1" applyFont="1" applyFill="1" applyBorder="1" applyAlignment="1">
      <alignment horizontal="center" vertical="center"/>
    </xf>
    <xf numFmtId="39" fontId="2" fillId="0" borderId="0" xfId="45" applyNumberFormat="1" applyFont="1" applyBorder="1" applyAlignment="1">
      <alignment/>
    </xf>
    <xf numFmtId="39" fontId="20" fillId="0" borderId="0" xfId="75" applyNumberFormat="1" applyFont="1" applyFill="1" applyBorder="1" applyAlignment="1" quotePrefix="1">
      <alignment horizontal="center"/>
      <protection/>
    </xf>
    <xf numFmtId="0" fontId="20" fillId="0" borderId="0" xfId="75" applyFont="1" applyFill="1" applyBorder="1" applyAlignment="1">
      <alignment horizontal="center"/>
      <protection/>
    </xf>
    <xf numFmtId="16" fontId="20" fillId="0" borderId="0" xfId="75" applyNumberFormat="1" applyFont="1" applyFill="1" applyBorder="1" applyAlignment="1" quotePrefix="1">
      <alignment horizontal="center"/>
      <protection/>
    </xf>
    <xf numFmtId="39" fontId="20" fillId="0" borderId="0" xfId="75" applyNumberFormat="1" applyFont="1" applyFill="1" applyBorder="1" applyAlignment="1">
      <alignment horizontal="center"/>
      <protection/>
    </xf>
    <xf numFmtId="43" fontId="20" fillId="0" borderId="0" xfId="45" applyFont="1" applyFill="1" applyAlignment="1">
      <alignment/>
    </xf>
    <xf numFmtId="40" fontId="20" fillId="0" borderId="0" xfId="46" applyNumberFormat="1" applyFont="1" applyFill="1" applyAlignment="1">
      <alignment horizontal="center"/>
    </xf>
    <xf numFmtId="210" fontId="9" fillId="0" borderId="10" xfId="83" applyNumberFormat="1" applyFont="1" applyFill="1" applyBorder="1" applyAlignment="1">
      <alignment horizontal="center"/>
      <protection/>
    </xf>
    <xf numFmtId="43" fontId="9" fillId="0" borderId="0" xfId="61" applyNumberFormat="1" applyFont="1" applyFill="1" applyBorder="1" applyAlignment="1">
      <alignment horizontal="center"/>
    </xf>
    <xf numFmtId="210" fontId="2" fillId="0" borderId="0" xfId="0" applyNumberFormat="1" applyFont="1" applyFill="1" applyBorder="1" applyAlignment="1">
      <alignment horizontal="right"/>
    </xf>
    <xf numFmtId="210" fontId="2" fillId="0" borderId="0" xfId="0" applyNumberFormat="1" applyFont="1" applyFill="1" applyAlignment="1">
      <alignment/>
    </xf>
    <xf numFmtId="210" fontId="2" fillId="0" borderId="0" xfId="42" applyNumberFormat="1" applyFont="1" applyFill="1" applyAlignment="1">
      <alignment/>
    </xf>
    <xf numFmtId="210" fontId="3" fillId="0" borderId="0" xfId="0" applyNumberFormat="1" applyFont="1" applyAlignment="1">
      <alignment horizontal="center"/>
    </xf>
    <xf numFmtId="210" fontId="41" fillId="0" borderId="0" xfId="0" applyNumberFormat="1" applyFont="1" applyAlignment="1">
      <alignment/>
    </xf>
    <xf numFmtId="210" fontId="2" fillId="0" borderId="0" xfId="0" applyNumberFormat="1" applyFont="1" applyFill="1" applyBorder="1" applyAlignment="1">
      <alignment/>
    </xf>
    <xf numFmtId="39" fontId="2" fillId="0" borderId="0" xfId="42" applyNumberFormat="1" applyFont="1" applyFill="1" applyBorder="1" applyAlignment="1" applyProtection="1" quotePrefix="1">
      <alignment horizontal="center"/>
      <protection/>
    </xf>
    <xf numFmtId="223" fontId="3" fillId="0" borderId="0" xfId="0" applyNumberFormat="1" applyFont="1" applyFill="1" applyAlignment="1">
      <alignment horizontal="left"/>
    </xf>
    <xf numFmtId="223" fontId="2" fillId="0" borderId="0" xfId="0" applyNumberFormat="1" applyFont="1" applyFill="1" applyAlignment="1">
      <alignment horizontal="left"/>
    </xf>
    <xf numFmtId="223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223" fontId="2" fillId="0" borderId="0" xfId="0" applyNumberFormat="1" applyFont="1" applyFill="1" applyAlignment="1">
      <alignment/>
    </xf>
    <xf numFmtId="223" fontId="2" fillId="0" borderId="0" xfId="0" applyNumberFormat="1" applyFont="1" applyFill="1" applyAlignment="1" quotePrefix="1">
      <alignment horizontal="center"/>
    </xf>
    <xf numFmtId="0" fontId="45" fillId="0" borderId="0" xfId="81" applyFont="1" applyFill="1">
      <alignment/>
      <protection/>
    </xf>
    <xf numFmtId="0" fontId="2" fillId="0" borderId="0" xfId="42" applyNumberFormat="1" applyFont="1" applyFill="1" applyAlignment="1">
      <alignment/>
    </xf>
    <xf numFmtId="40" fontId="7" fillId="0" borderId="0" xfId="0" applyNumberFormat="1" applyFont="1" applyAlignment="1" quotePrefix="1">
      <alignment horizontal="center"/>
    </xf>
    <xf numFmtId="40" fontId="3" fillId="0" borderId="0" xfId="93" applyNumberFormat="1" applyFont="1" applyFill="1" applyAlignment="1" applyProtection="1">
      <alignment horizontal="centerContinuous"/>
      <protection/>
    </xf>
    <xf numFmtId="0" fontId="3" fillId="0" borderId="0" xfId="93" applyNumberFormat="1" applyFont="1" applyFill="1">
      <alignment/>
      <protection/>
    </xf>
    <xf numFmtId="40" fontId="2" fillId="0" borderId="0" xfId="48" applyNumberFormat="1" applyFont="1" applyFill="1" applyAlignment="1">
      <alignment/>
    </xf>
    <xf numFmtId="40" fontId="4" fillId="0" borderId="0" xfId="48" applyNumberFormat="1" applyFont="1" applyFill="1" applyAlignment="1">
      <alignment/>
    </xf>
    <xf numFmtId="40" fontId="4" fillId="0" borderId="0" xfId="93" applyNumberFormat="1" applyFont="1" applyFill="1">
      <alignment/>
      <protection/>
    </xf>
    <xf numFmtId="40" fontId="3" fillId="0" borderId="0" xfId="93" applyNumberFormat="1" applyFont="1" applyFill="1">
      <alignment/>
      <protection/>
    </xf>
    <xf numFmtId="40" fontId="2" fillId="0" borderId="0" xfId="95" applyNumberFormat="1" applyFont="1" applyFill="1" applyAlignment="1">
      <alignment/>
      <protection/>
    </xf>
    <xf numFmtId="0" fontId="44" fillId="0" borderId="0" xfId="0" applyFont="1" applyFill="1" applyAlignment="1">
      <alignment horizontal="left"/>
    </xf>
    <xf numFmtId="40" fontId="20" fillId="0" borderId="0" xfId="94" applyNumberFormat="1" applyFont="1" applyFill="1" applyAlignment="1">
      <alignment/>
      <protection/>
    </xf>
    <xf numFmtId="40" fontId="2" fillId="0" borderId="0" xfId="93" applyNumberFormat="1" applyFont="1" applyFill="1" applyAlignment="1" applyProtection="1" quotePrefix="1">
      <alignment horizontal="center"/>
      <protection/>
    </xf>
    <xf numFmtId="40" fontId="5" fillId="0" borderId="0" xfId="94" applyNumberFormat="1" applyFont="1" applyFill="1" applyAlignment="1">
      <alignment horizontal="center"/>
      <protection/>
    </xf>
    <xf numFmtId="40" fontId="2" fillId="0" borderId="0" xfId="94" applyNumberFormat="1" applyFont="1" applyFill="1" applyAlignment="1">
      <alignment horizontal="center"/>
      <protection/>
    </xf>
    <xf numFmtId="40" fontId="3" fillId="0" borderId="0" xfId="93" applyNumberFormat="1" applyFont="1" applyFill="1" applyAlignment="1" applyProtection="1">
      <alignment/>
      <protection/>
    </xf>
    <xf numFmtId="40" fontId="2" fillId="0" borderId="0" xfId="93" applyNumberFormat="1" applyFont="1" applyFill="1" applyAlignment="1" applyProtection="1">
      <alignment horizontal="left"/>
      <protection/>
    </xf>
    <xf numFmtId="40" fontId="2" fillId="0" borderId="0" xfId="42" applyNumberFormat="1" applyFont="1" applyFill="1" applyAlignment="1" quotePrefix="1">
      <alignment horizontal="right"/>
    </xf>
    <xf numFmtId="40" fontId="2" fillId="0" borderId="0" xfId="42" applyNumberFormat="1" applyFont="1" applyFill="1" applyAlignment="1">
      <alignment horizontal="right"/>
    </xf>
    <xf numFmtId="40" fontId="2" fillId="0" borderId="0" xfId="0" applyNumberFormat="1" applyFont="1" applyFill="1" applyAlignment="1">
      <alignment horizontal="left"/>
    </xf>
    <xf numFmtId="40" fontId="2" fillId="0" borderId="0" xfId="63" applyNumberFormat="1" applyFont="1" applyFill="1" applyAlignment="1">
      <alignment horizontal="center"/>
    </xf>
    <xf numFmtId="40" fontId="2" fillId="0" borderId="10" xfId="0" applyNumberFormat="1" applyFont="1" applyFill="1" applyBorder="1" applyAlignment="1">
      <alignment/>
    </xf>
    <xf numFmtId="39" fontId="2" fillId="0" borderId="13" xfId="0" applyNumberFormat="1" applyFont="1" applyFill="1" applyBorder="1" applyAlignment="1">
      <alignment/>
    </xf>
    <xf numFmtId="40" fontId="2" fillId="0" borderId="13" xfId="0" applyNumberFormat="1" applyFont="1" applyFill="1" applyBorder="1" applyAlignment="1">
      <alignment/>
    </xf>
    <xf numFmtId="40" fontId="2" fillId="0" borderId="13" xfId="42" applyNumberFormat="1" applyFont="1" applyFill="1" applyBorder="1" applyAlignment="1">
      <alignment/>
    </xf>
    <xf numFmtId="40" fontId="2" fillId="0" borderId="0" xfId="42" applyNumberFormat="1" applyFont="1" applyFill="1" applyBorder="1" applyAlignment="1">
      <alignment/>
    </xf>
    <xf numFmtId="40" fontId="6" fillId="0" borderId="0" xfId="0" applyNumberFormat="1" applyFont="1" applyFill="1" applyAlignment="1">
      <alignment/>
    </xf>
    <xf numFmtId="40" fontId="3" fillId="0" borderId="0" xfId="48" applyNumberFormat="1" applyFont="1" applyFill="1" applyAlignment="1" applyProtection="1" quotePrefix="1">
      <alignment/>
      <protection/>
    </xf>
    <xf numFmtId="40" fontId="3" fillId="0" borderId="0" xfId="0" applyNumberFormat="1" applyFont="1" applyFill="1" applyAlignment="1" quotePrefix="1">
      <alignment horizontal="center"/>
    </xf>
    <xf numFmtId="40" fontId="3" fillId="0" borderId="0" xfId="0" applyNumberFormat="1" applyFont="1" applyFill="1" applyBorder="1" applyAlignment="1">
      <alignment/>
    </xf>
    <xf numFmtId="40" fontId="2" fillId="0" borderId="0" xfId="93" applyNumberFormat="1" applyFont="1" applyFill="1" applyAlignment="1" applyProtection="1" quotePrefix="1">
      <alignment/>
      <protection/>
    </xf>
    <xf numFmtId="40" fontId="3" fillId="0" borderId="0" xfId="0" applyNumberFormat="1" applyFont="1" applyFill="1" applyAlignment="1">
      <alignment horizontal="center"/>
    </xf>
    <xf numFmtId="40" fontId="2" fillId="0" borderId="0" xfId="93" applyNumberFormat="1" applyFont="1" applyFill="1" applyBorder="1" applyAlignment="1" applyProtection="1">
      <alignment/>
      <protection/>
    </xf>
    <xf numFmtId="40" fontId="2" fillId="0" borderId="0" xfId="48" applyNumberFormat="1" applyFont="1" applyFill="1" applyBorder="1" applyAlignment="1" quotePrefix="1">
      <alignment/>
    </xf>
    <xf numFmtId="40" fontId="2" fillId="0" borderId="0" xfId="0" applyNumberFormat="1" applyFont="1" applyFill="1" applyBorder="1" applyAlignment="1" quotePrefix="1">
      <alignment/>
    </xf>
    <xf numFmtId="210" fontId="2" fillId="0" borderId="0" xfId="42" applyNumberFormat="1" applyFont="1" applyFill="1" applyAlignment="1">
      <alignment/>
    </xf>
    <xf numFmtId="39" fontId="2" fillId="0" borderId="0" xfId="45" applyNumberFormat="1" applyFont="1" applyFill="1" applyBorder="1" applyAlignment="1">
      <alignment horizontal="center"/>
    </xf>
    <xf numFmtId="39" fontId="2" fillId="0" borderId="10" xfId="45" applyNumberFormat="1" applyFont="1" applyFill="1" applyBorder="1" applyAlignment="1">
      <alignment horizontal="center"/>
    </xf>
    <xf numFmtId="38" fontId="2" fillId="0" borderId="0" xfId="0" applyNumberFormat="1" applyFont="1" applyAlignment="1">
      <alignment horizontal="center"/>
    </xf>
    <xf numFmtId="39" fontId="3" fillId="0" borderId="10" xfId="42" applyNumberFormat="1" applyFont="1" applyBorder="1" applyAlignment="1">
      <alignment horizontal="center"/>
    </xf>
    <xf numFmtId="39" fontId="3" fillId="0" borderId="0" xfId="42" applyNumberFormat="1" applyFont="1" applyBorder="1" applyAlignment="1">
      <alignment horizontal="center"/>
    </xf>
    <xf numFmtId="205" fontId="11" fillId="0" borderId="11" xfId="93" applyNumberFormat="1" applyFont="1" applyBorder="1" applyAlignment="1" applyProtection="1">
      <alignment horizontal="center"/>
      <protection/>
    </xf>
    <xf numFmtId="38" fontId="11" fillId="0" borderId="11" xfId="93" applyNumberFormat="1" applyFont="1" applyBorder="1" applyAlignment="1" applyProtection="1">
      <alignment horizontal="center"/>
      <protection/>
    </xf>
    <xf numFmtId="39" fontId="2" fillId="0" borderId="12" xfId="42" applyNumberFormat="1" applyFont="1" applyBorder="1" applyAlignment="1">
      <alignment horizontal="center"/>
    </xf>
    <xf numFmtId="39" fontId="2" fillId="0" borderId="12" xfId="42" applyNumberFormat="1" applyFont="1" applyBorder="1" applyAlignment="1" quotePrefix="1">
      <alignment horizontal="center"/>
    </xf>
    <xf numFmtId="39" fontId="2" fillId="0" borderId="0" xfId="42" applyNumberFormat="1" applyFont="1" applyAlignment="1">
      <alignment horizontal="center"/>
    </xf>
    <xf numFmtId="39" fontId="2" fillId="0" borderId="10" xfId="42" applyNumberFormat="1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206" fontId="2" fillId="0" borderId="0" xfId="93" applyNumberFormat="1" applyFont="1" applyBorder="1" applyAlignment="1" applyProtection="1" quotePrefix="1">
      <alignment horizontal="center"/>
      <protection/>
    </xf>
    <xf numFmtId="39" fontId="43" fillId="0" borderId="0" xfId="93" applyNumberFormat="1" applyFont="1" applyAlignment="1">
      <alignment horizontal="center"/>
      <protection/>
    </xf>
    <xf numFmtId="39" fontId="3" fillId="0" borderId="0" xfId="0" applyNumberFormat="1" applyFont="1" applyAlignment="1">
      <alignment horizontal="center"/>
    </xf>
    <xf numFmtId="39" fontId="2" fillId="0" borderId="0" xfId="45" applyNumberFormat="1" applyFont="1" applyBorder="1" applyAlignment="1">
      <alignment horizontal="center"/>
    </xf>
    <xf numFmtId="39" fontId="2" fillId="0" borderId="10" xfId="45" applyNumberFormat="1" applyFont="1" applyBorder="1" applyAlignment="1">
      <alignment horizontal="center"/>
    </xf>
    <xf numFmtId="202" fontId="2" fillId="0" borderId="0" xfId="0" applyNumberFormat="1" applyFont="1" applyFill="1" applyAlignment="1">
      <alignment/>
    </xf>
    <xf numFmtId="210" fontId="9" fillId="0" borderId="10" xfId="83" applyNumberFormat="1" applyFont="1" applyFill="1" applyBorder="1" applyAlignment="1" quotePrefix="1">
      <alignment/>
      <protection/>
    </xf>
    <xf numFmtId="210" fontId="9" fillId="0" borderId="11" xfId="83" applyNumberFormat="1" applyFont="1" applyFill="1" applyBorder="1">
      <alignment/>
      <protection/>
    </xf>
    <xf numFmtId="202" fontId="2" fillId="0" borderId="0" xfId="42" applyNumberFormat="1" applyFont="1" applyAlignment="1">
      <alignment/>
    </xf>
    <xf numFmtId="202" fontId="2" fillId="0" borderId="12" xfId="42" applyNumberFormat="1" applyFont="1" applyBorder="1" applyAlignment="1">
      <alignment/>
    </xf>
    <xf numFmtId="40" fontId="2" fillId="0" borderId="0" xfId="93" applyNumberFormat="1" applyFont="1" applyFill="1" applyAlignment="1" applyProtection="1" quotePrefix="1">
      <alignment horizontal="center"/>
      <protection/>
    </xf>
    <xf numFmtId="40" fontId="2" fillId="0" borderId="0" xfId="93" applyNumberFormat="1" applyFont="1" applyFill="1" applyAlignment="1">
      <alignment horizontal="center"/>
      <protection/>
    </xf>
    <xf numFmtId="40" fontId="3" fillId="0" borderId="0" xfId="93" applyNumberFormat="1" applyFont="1" applyFill="1" applyAlignment="1" applyProtection="1">
      <alignment horizontal="center"/>
      <protection/>
    </xf>
    <xf numFmtId="0" fontId="40" fillId="0" borderId="0" xfId="81" applyFont="1" applyFill="1">
      <alignment/>
      <protection/>
    </xf>
    <xf numFmtId="0" fontId="9" fillId="0" borderId="0" xfId="0" applyFont="1" applyFill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43" fontId="2" fillId="0" borderId="0" xfId="42" applyFont="1" applyAlignment="1" quotePrefix="1">
      <alignment horizontal="center"/>
    </xf>
    <xf numFmtId="40" fontId="20" fillId="0" borderId="0" xfId="0" applyNumberFormat="1" applyFont="1" applyFill="1" applyAlignment="1" quotePrefix="1">
      <alignment horizontal="center" vertical="center"/>
    </xf>
    <xf numFmtId="208" fontId="7" fillId="0" borderId="0" xfId="0" applyNumberFormat="1" applyFont="1" applyFill="1" applyAlignment="1" quotePrefix="1">
      <alignment horizontal="center"/>
    </xf>
    <xf numFmtId="205" fontId="11" fillId="0" borderId="12" xfId="93" applyNumberFormat="1" applyFont="1" applyFill="1" applyBorder="1" applyAlignment="1" applyProtection="1">
      <alignment horizontal="center"/>
      <protection/>
    </xf>
    <xf numFmtId="38" fontId="11" fillId="0" borderId="12" xfId="93" applyNumberFormat="1" applyFont="1" applyFill="1" applyBorder="1" applyAlignment="1" applyProtection="1">
      <alignment horizontal="center"/>
      <protection/>
    </xf>
    <xf numFmtId="205" fontId="11" fillId="0" borderId="0" xfId="93" applyNumberFormat="1" applyFont="1" applyFill="1" applyBorder="1" applyAlignment="1" applyProtection="1">
      <alignment horizontal="center"/>
      <protection/>
    </xf>
    <xf numFmtId="38" fontId="11" fillId="0" borderId="11" xfId="93" applyNumberFormat="1" applyFont="1" applyFill="1" applyBorder="1" applyAlignment="1" applyProtection="1">
      <alignment horizontal="center"/>
      <protection/>
    </xf>
    <xf numFmtId="38" fontId="11" fillId="0" borderId="0" xfId="93" applyNumberFormat="1" applyFont="1" applyFill="1" applyBorder="1" applyAlignment="1" applyProtection="1">
      <alignment horizontal="center"/>
      <protection/>
    </xf>
    <xf numFmtId="40" fontId="7" fillId="0" borderId="0" xfId="0" applyNumberFormat="1" applyFont="1" applyAlignment="1" quotePrefix="1">
      <alignment horizontal="center"/>
    </xf>
    <xf numFmtId="205" fontId="11" fillId="0" borderId="12" xfId="93" applyNumberFormat="1" applyFont="1" applyBorder="1" applyAlignment="1" applyProtection="1">
      <alignment horizontal="center"/>
      <protection/>
    </xf>
    <xf numFmtId="38" fontId="11" fillId="0" borderId="12" xfId="93" applyNumberFormat="1" applyFont="1" applyBorder="1" applyAlignment="1" applyProtection="1">
      <alignment horizontal="center"/>
      <protection/>
    </xf>
    <xf numFmtId="40" fontId="2" fillId="0" borderId="0" xfId="0" applyNumberFormat="1" applyFont="1" applyAlignment="1" quotePrefix="1">
      <alignment horizontal="center"/>
    </xf>
    <xf numFmtId="39" fontId="8" fillId="0" borderId="0" xfId="42" applyNumberFormat="1" applyFont="1" applyFill="1" applyBorder="1" applyAlignment="1">
      <alignment horizontal="center"/>
    </xf>
    <xf numFmtId="39" fontId="3" fillId="0" borderId="0" xfId="42" applyNumberFormat="1" applyFont="1" applyFill="1" applyBorder="1" applyAlignment="1">
      <alignment horizontal="center"/>
    </xf>
    <xf numFmtId="40" fontId="2" fillId="0" borderId="0" xfId="0" applyNumberFormat="1" applyFont="1" applyFill="1" applyAlignment="1" quotePrefix="1">
      <alignment horizontal="center"/>
    </xf>
    <xf numFmtId="39" fontId="3" fillId="0" borderId="10" xfId="42" applyNumberFormat="1" applyFont="1" applyFill="1" applyBorder="1" applyAlignment="1">
      <alignment horizontal="center"/>
    </xf>
    <xf numFmtId="39" fontId="8" fillId="0" borderId="10" xfId="42" applyNumberFormat="1" applyFont="1" applyFill="1" applyBorder="1" applyAlignment="1">
      <alignment horizontal="center"/>
    </xf>
    <xf numFmtId="40" fontId="2" fillId="0" borderId="0" xfId="0" applyNumberFormat="1" applyFont="1" applyFill="1" applyAlignment="1">
      <alignment horizontal="center"/>
    </xf>
    <xf numFmtId="40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 quotePrefix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8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3" xfId="45"/>
    <cellStyle name="Comma 13 2" xfId="46"/>
    <cellStyle name="Comma 14" xfId="47"/>
    <cellStyle name="Comma 2" xfId="48"/>
    <cellStyle name="Comma 3" xfId="49"/>
    <cellStyle name="Comma 3 3" xfId="50"/>
    <cellStyle name="Comma 4" xfId="51"/>
    <cellStyle name="Comma 4 2" xfId="52"/>
    <cellStyle name="Comma 4 2 2" xfId="53"/>
    <cellStyle name="Comma 5" xfId="54"/>
    <cellStyle name="Comma 6" xfId="55"/>
    <cellStyle name="Comma 7" xfId="56"/>
    <cellStyle name="Comma 8" xfId="57"/>
    <cellStyle name="Comma 8 2" xfId="58"/>
    <cellStyle name="Comma 9" xfId="59"/>
    <cellStyle name="Comma_Book1 2 2" xfId="60"/>
    <cellStyle name="Comma_SPI-Dec'49t-3 2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rmal 2" xfId="75"/>
    <cellStyle name="Normal 2 2" xfId="76"/>
    <cellStyle name="Normal 3" xfId="77"/>
    <cellStyle name="Normal 3 2" xfId="78"/>
    <cellStyle name="Normal 3 2 2" xfId="79"/>
    <cellStyle name="Normal 4" xfId="80"/>
    <cellStyle name="Normal 5" xfId="81"/>
    <cellStyle name="Normal_Book1 2" xfId="82"/>
    <cellStyle name="Normal_SPI-Dec'49t-3 2" xfId="83"/>
    <cellStyle name="Normal_SPI-Dec'49t-3 2_SPI_Jun_51t-3_Edit" xfId="84"/>
    <cellStyle name="Normal_SPI-Dec'49t-3 2_SPI-Dec'51-E3 ต่อ" xfId="85"/>
    <cellStyle name="Normal_SPI-Mar'48t-3 2" xfId="86"/>
    <cellStyle name="Note" xfId="87"/>
    <cellStyle name="Output" xfId="88"/>
    <cellStyle name="Percent" xfId="89"/>
    <cellStyle name="Title" xfId="90"/>
    <cellStyle name="Total" xfId="91"/>
    <cellStyle name="Warning Text" xfId="92"/>
    <cellStyle name="ปกติ_Sheet1" xfId="93"/>
    <cellStyle name="ปกติ_SPC-Dec'50-T3" xfId="94"/>
    <cellStyle name="ปกติ_SPC-Dec'50-T3 2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-polly\data2%20(d)\Documents%20and%20Settings\O-O\Desktop\File_DIA\SPI%2051\FA\&#3626;&#3619;&#3640;&#3611;&#3612;&#3621;&#3585;&#3634;&#3619;&#3605;&#3619;&#3623;&#3592;&#3626;&#3629;&#361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"/>
      <sheetName val="Purchase (2)"/>
      <sheetName val="CF-FA"/>
      <sheetName val="CF-FA1"/>
      <sheetName val="ข้อมูลออกงบ-FB"/>
      <sheetName val="ข้อมูลออกงบ -FA"/>
      <sheetName val="CF-FB"/>
      <sheetName val="CF-FB1"/>
      <sheetName val="Note14"/>
      <sheetName val="สรุปภาพรวม"/>
      <sheetName val="Sale"/>
      <sheetName val="สรุป Sale (1)"/>
      <sheetName val="Purchase"/>
      <sheetName val="สรุป-depre"/>
      <sheetName val="depreciation -อร"/>
      <sheetName val="cash flow-ปี "/>
      <sheetName val="cash flow-Q4"/>
      <sheetName val="FA 8 (2)"/>
      <sheetName val="FA 8"/>
      <sheetName val="inprogress -อร"/>
      <sheetName val="depreciation"/>
      <sheetName val="Inchart of SPI"/>
      <sheetName val="point"/>
      <sheetName val="inprogress"/>
      <sheetName val="sale50"/>
    </sheetNames>
    <sheetDataSet>
      <sheetData sheetId="0">
        <row r="21">
          <cell r="C21">
            <v>0</v>
          </cell>
          <cell r="I2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3"/>
  <sheetViews>
    <sheetView tabSelected="1" zoomScaleSheetLayoutView="100" zoomScalePageLayoutView="0" workbookViewId="0" topLeftCell="A175">
      <selection activeCell="E203" sqref="E203"/>
    </sheetView>
  </sheetViews>
  <sheetFormatPr defaultColWidth="9.140625" defaultRowHeight="24.75" customHeight="1"/>
  <cols>
    <col min="1" max="1" width="31.00390625" style="290" customWidth="1"/>
    <col min="2" max="2" width="16.140625" style="290" customWidth="1"/>
    <col min="3" max="3" width="1.7109375" style="290" customWidth="1"/>
    <col min="4" max="4" width="16.8515625" style="53" customWidth="1"/>
    <col min="5" max="5" width="17.57421875" style="290" bestFit="1" customWidth="1"/>
    <col min="6" max="6" width="1.7109375" style="290" customWidth="1"/>
    <col min="7" max="7" width="17.28125" style="290" bestFit="1" customWidth="1"/>
    <col min="8" max="8" width="2.8515625" style="290" customWidth="1"/>
    <col min="9" max="9" width="1.421875" style="290" customWidth="1"/>
    <col min="10" max="10" width="0.5625" style="290" customWidth="1"/>
    <col min="11" max="40" width="9.140625" style="290" customWidth="1"/>
    <col min="41" max="41" width="9.28125" style="290" customWidth="1"/>
    <col min="42" max="16384" width="9.140625" style="290" customWidth="1"/>
  </cols>
  <sheetData>
    <row r="1" spans="1:7" s="289" customFormat="1" ht="26.25" customHeight="1">
      <c r="A1" s="654" t="s">
        <v>337</v>
      </c>
      <c r="B1" s="654"/>
      <c r="C1" s="654"/>
      <c r="D1" s="654"/>
      <c r="E1" s="654"/>
      <c r="F1" s="654"/>
      <c r="G1" s="654"/>
    </row>
    <row r="2" spans="1:7" s="289" customFormat="1" ht="26.25" customHeight="1">
      <c r="A2" s="654" t="s">
        <v>338</v>
      </c>
      <c r="B2" s="654"/>
      <c r="C2" s="654"/>
      <c r="D2" s="654"/>
      <c r="E2" s="654"/>
      <c r="F2" s="654"/>
      <c r="G2" s="654"/>
    </row>
    <row r="3" spans="1:7" s="289" customFormat="1" ht="26.25" customHeight="1">
      <c r="A3" s="654" t="s">
        <v>217</v>
      </c>
      <c r="B3" s="654"/>
      <c r="C3" s="654"/>
      <c r="D3" s="654"/>
      <c r="E3" s="654"/>
      <c r="F3" s="654"/>
      <c r="G3" s="654"/>
    </row>
    <row r="4" spans="1:6" ht="26.25" customHeight="1">
      <c r="A4" s="596"/>
      <c r="B4" s="596"/>
      <c r="C4" s="596"/>
      <c r="D4" s="596"/>
      <c r="E4" s="596"/>
      <c r="F4" s="596"/>
    </row>
    <row r="5" spans="1:6" ht="26.25" customHeight="1">
      <c r="A5" s="597" t="s">
        <v>339</v>
      </c>
      <c r="B5" s="453"/>
      <c r="C5" s="559"/>
      <c r="D5" s="453"/>
      <c r="E5" s="453"/>
      <c r="F5" s="453"/>
    </row>
    <row r="6" spans="1:6" ht="26.25" customHeight="1">
      <c r="A6" s="453" t="s">
        <v>136</v>
      </c>
      <c r="B6" s="453"/>
      <c r="C6" s="598"/>
      <c r="D6" s="453"/>
      <c r="E6" s="453"/>
      <c r="F6" s="453"/>
    </row>
    <row r="7" spans="1:6" ht="26.25" customHeight="1">
      <c r="A7" s="453" t="s">
        <v>553</v>
      </c>
      <c r="B7" s="453"/>
      <c r="C7" s="599"/>
      <c r="D7" s="600"/>
      <c r="E7" s="600"/>
      <c r="F7" s="600"/>
    </row>
    <row r="8" spans="1:6" s="455" customFormat="1" ht="26.25" customHeight="1">
      <c r="A8" s="453" t="s">
        <v>471</v>
      </c>
      <c r="B8" s="52"/>
      <c r="C8" s="454"/>
      <c r="D8" s="54"/>
      <c r="E8" s="54"/>
      <c r="F8" s="54"/>
    </row>
    <row r="9" spans="1:6" s="455" customFormat="1" ht="26.25" customHeight="1">
      <c r="A9" s="453" t="s">
        <v>556</v>
      </c>
      <c r="B9" s="52"/>
      <c r="C9" s="454"/>
      <c r="D9" s="54"/>
      <c r="E9" s="54"/>
      <c r="F9" s="54"/>
    </row>
    <row r="10" spans="1:6" s="455" customFormat="1" ht="26.25" customHeight="1">
      <c r="A10" s="453" t="s">
        <v>555</v>
      </c>
      <c r="B10" s="52"/>
      <c r="C10" s="454"/>
      <c r="D10" s="54"/>
      <c r="E10" s="54"/>
      <c r="F10" s="54"/>
    </row>
    <row r="11" spans="1:6" s="455" customFormat="1" ht="26.25" customHeight="1">
      <c r="A11" s="453" t="s">
        <v>554</v>
      </c>
      <c r="B11" s="52"/>
      <c r="C11" s="454"/>
      <c r="D11" s="54"/>
      <c r="E11" s="54"/>
      <c r="F11" s="54"/>
    </row>
    <row r="12" spans="1:8" s="63" customFormat="1" ht="26.25" customHeight="1">
      <c r="A12" s="60" t="s">
        <v>1204</v>
      </c>
      <c r="B12" s="61"/>
      <c r="C12" s="61"/>
      <c r="D12" s="61"/>
      <c r="E12" s="61"/>
      <c r="F12" s="61"/>
      <c r="G12" s="61"/>
      <c r="H12" s="62"/>
    </row>
    <row r="13" spans="1:8" s="63" customFormat="1" ht="26.25" customHeight="1">
      <c r="A13" s="60" t="s">
        <v>415</v>
      </c>
      <c r="B13" s="61"/>
      <c r="C13" s="61"/>
      <c r="D13" s="61"/>
      <c r="E13" s="61"/>
      <c r="F13" s="61"/>
      <c r="G13" s="61"/>
      <c r="H13" s="62"/>
    </row>
    <row r="14" spans="1:8" s="63" customFormat="1" ht="26.25" customHeight="1">
      <c r="A14" s="60" t="s">
        <v>416</v>
      </c>
      <c r="B14" s="61"/>
      <c r="C14" s="61"/>
      <c r="D14" s="61"/>
      <c r="E14" s="61"/>
      <c r="F14" s="61"/>
      <c r="G14" s="61"/>
      <c r="H14" s="62"/>
    </row>
    <row r="15" spans="1:8" s="63" customFormat="1" ht="26.25" customHeight="1">
      <c r="A15" s="60" t="s">
        <v>1202</v>
      </c>
      <c r="B15" s="61"/>
      <c r="C15" s="61"/>
      <c r="D15" s="61"/>
      <c r="E15" s="61"/>
      <c r="F15" s="61"/>
      <c r="G15" s="61"/>
      <c r="H15" s="62"/>
    </row>
    <row r="16" spans="1:8" s="63" customFormat="1" ht="26.25" customHeight="1">
      <c r="A16" s="60" t="s">
        <v>1205</v>
      </c>
      <c r="B16" s="61"/>
      <c r="C16" s="61"/>
      <c r="D16" s="61"/>
      <c r="E16" s="61"/>
      <c r="F16" s="61"/>
      <c r="G16" s="61"/>
      <c r="H16" s="62"/>
    </row>
    <row r="17" spans="1:8" s="63" customFormat="1" ht="26.25" customHeight="1">
      <c r="A17" s="60" t="s">
        <v>1206</v>
      </c>
      <c r="B17" s="61"/>
      <c r="C17" s="61"/>
      <c r="D17" s="61"/>
      <c r="E17" s="61"/>
      <c r="F17" s="61"/>
      <c r="G17" s="61"/>
      <c r="H17" s="62"/>
    </row>
    <row r="18" spans="1:8" s="63" customFormat="1" ht="26.25" customHeight="1">
      <c r="A18" s="60" t="s">
        <v>417</v>
      </c>
      <c r="B18" s="61"/>
      <c r="C18" s="61"/>
      <c r="D18" s="61"/>
      <c r="E18" s="61"/>
      <c r="F18" s="61"/>
      <c r="G18" s="61"/>
      <c r="H18" s="62"/>
    </row>
    <row r="19" spans="1:8" s="63" customFormat="1" ht="26.25" customHeight="1">
      <c r="A19" s="60" t="s">
        <v>1085</v>
      </c>
      <c r="B19" s="61"/>
      <c r="C19" s="61"/>
      <c r="D19" s="61"/>
      <c r="E19" s="61"/>
      <c r="F19" s="61"/>
      <c r="G19" s="61"/>
      <c r="H19" s="62"/>
    </row>
    <row r="20" spans="1:8" s="63" customFormat="1" ht="26.25" customHeight="1">
      <c r="A20" s="60" t="s">
        <v>1086</v>
      </c>
      <c r="B20" s="61"/>
      <c r="C20" s="61"/>
      <c r="D20" s="61"/>
      <c r="E20" s="61"/>
      <c r="F20" s="61"/>
      <c r="G20" s="61"/>
      <c r="H20" s="62"/>
    </row>
    <row r="21" spans="1:6" s="455" customFormat="1" ht="26.25" customHeight="1">
      <c r="A21" s="601" t="s">
        <v>340</v>
      </c>
      <c r="B21" s="453"/>
      <c r="C21" s="53"/>
      <c r="D21" s="54"/>
      <c r="E21" s="54"/>
      <c r="F21" s="54"/>
    </row>
    <row r="22" spans="1:6" s="455" customFormat="1" ht="26.25" customHeight="1">
      <c r="A22" s="52" t="s">
        <v>885</v>
      </c>
      <c r="B22" s="453"/>
      <c r="C22" s="53"/>
      <c r="D22" s="54"/>
      <c r="E22" s="54"/>
      <c r="F22" s="54"/>
    </row>
    <row r="23" spans="1:6" s="455" customFormat="1" ht="26.25" customHeight="1">
      <c r="A23" s="453" t="s">
        <v>1087</v>
      </c>
      <c r="B23" s="453"/>
      <c r="C23" s="53"/>
      <c r="D23" s="54"/>
      <c r="E23" s="54"/>
      <c r="F23" s="54"/>
    </row>
    <row r="24" spans="1:6" s="455" customFormat="1" ht="26.25" customHeight="1">
      <c r="A24" s="453" t="s">
        <v>218</v>
      </c>
      <c r="B24" s="453"/>
      <c r="C24" s="53"/>
      <c r="D24" s="54"/>
      <c r="E24" s="54"/>
      <c r="F24" s="54"/>
    </row>
    <row r="25" spans="1:6" s="455" customFormat="1" ht="26.25" customHeight="1">
      <c r="A25" s="453" t="s">
        <v>775</v>
      </c>
      <c r="B25" s="453"/>
      <c r="C25" s="454"/>
      <c r="D25" s="54"/>
      <c r="E25" s="54"/>
      <c r="F25" s="54"/>
    </row>
    <row r="26" spans="1:6" s="455" customFormat="1" ht="26.25" customHeight="1">
      <c r="A26" s="453" t="s">
        <v>776</v>
      </c>
      <c r="B26" s="453"/>
      <c r="C26" s="454"/>
      <c r="D26" s="54"/>
      <c r="E26" s="54"/>
      <c r="F26" s="54"/>
    </row>
    <row r="27" spans="1:6" s="455" customFormat="1" ht="26.25" customHeight="1">
      <c r="A27" s="453" t="s">
        <v>777</v>
      </c>
      <c r="B27" s="453"/>
      <c r="C27" s="454"/>
      <c r="D27" s="54"/>
      <c r="E27" s="54"/>
      <c r="F27" s="54"/>
    </row>
    <row r="28" spans="1:6" s="455" customFormat="1" ht="26.25" customHeight="1">
      <c r="A28" s="453" t="s">
        <v>341</v>
      </c>
      <c r="B28" s="453"/>
      <c r="C28" s="454"/>
      <c r="D28" s="54"/>
      <c r="E28" s="54"/>
      <c r="F28" s="54"/>
    </row>
    <row r="29" spans="1:6" s="455" customFormat="1" ht="26.25" customHeight="1">
      <c r="A29" s="453" t="s">
        <v>219</v>
      </c>
      <c r="B29" s="453"/>
      <c r="C29" s="454"/>
      <c r="D29" s="54"/>
      <c r="E29" s="54"/>
      <c r="F29" s="54"/>
    </row>
    <row r="30" spans="1:6" s="455" customFormat="1" ht="26.25" customHeight="1">
      <c r="A30" s="453" t="s">
        <v>90</v>
      </c>
      <c r="B30" s="453"/>
      <c r="C30" s="454"/>
      <c r="D30" s="54"/>
      <c r="E30" s="54"/>
      <c r="F30" s="54"/>
    </row>
    <row r="31" spans="1:6" s="455" customFormat="1" ht="26.25" customHeight="1">
      <c r="A31" s="453" t="s">
        <v>220</v>
      </c>
      <c r="B31" s="453"/>
      <c r="C31" s="454"/>
      <c r="D31" s="54"/>
      <c r="E31" s="54"/>
      <c r="F31" s="54"/>
    </row>
    <row r="32" spans="1:6" s="455" customFormat="1" ht="26.25" customHeight="1">
      <c r="A32" s="52" t="s">
        <v>1193</v>
      </c>
      <c r="B32" s="453"/>
      <c r="C32" s="53"/>
      <c r="D32" s="54"/>
      <c r="E32" s="54"/>
      <c r="F32" s="54"/>
    </row>
    <row r="33" spans="1:6" s="455" customFormat="1" ht="26.25" customHeight="1">
      <c r="A33" s="52"/>
      <c r="B33" s="453"/>
      <c r="C33" s="53"/>
      <c r="D33" s="54"/>
      <c r="E33" s="54"/>
      <c r="F33" s="54"/>
    </row>
    <row r="34" spans="1:7" s="455" customFormat="1" ht="30.75" customHeight="1">
      <c r="A34" s="652" t="s">
        <v>137</v>
      </c>
      <c r="B34" s="652"/>
      <c r="C34" s="652"/>
      <c r="D34" s="652"/>
      <c r="E34" s="652"/>
      <c r="F34" s="652"/>
      <c r="G34" s="652"/>
    </row>
    <row r="35" spans="1:6" s="455" customFormat="1" ht="30.75" customHeight="1">
      <c r="A35" s="52"/>
      <c r="B35" s="453"/>
      <c r="C35" s="53"/>
      <c r="D35" s="54"/>
      <c r="E35" s="54"/>
      <c r="F35" s="54"/>
    </row>
    <row r="36" spans="1:9" s="602" customFormat="1" ht="30.75" customHeight="1">
      <c r="A36" s="64" t="s">
        <v>433</v>
      </c>
      <c r="B36" s="65"/>
      <c r="C36" s="65"/>
      <c r="D36" s="65"/>
      <c r="E36" s="65"/>
      <c r="F36" s="65"/>
      <c r="G36" s="65"/>
      <c r="H36" s="65"/>
      <c r="I36" s="65"/>
    </row>
    <row r="37" spans="1:9" s="604" customFormat="1" ht="30.75" customHeight="1">
      <c r="A37" s="65" t="s">
        <v>221</v>
      </c>
      <c r="B37" s="603"/>
      <c r="C37" s="65"/>
      <c r="D37" s="65"/>
      <c r="E37" s="65"/>
      <c r="F37" s="65"/>
      <c r="G37" s="65"/>
      <c r="H37" s="65"/>
      <c r="I37" s="65"/>
    </row>
    <row r="38" spans="1:9" s="604" customFormat="1" ht="30.75" customHeight="1">
      <c r="A38" s="65" t="s">
        <v>222</v>
      </c>
      <c r="B38" s="603"/>
      <c r="C38" s="65"/>
      <c r="D38" s="65"/>
      <c r="E38" s="65"/>
      <c r="F38" s="65"/>
      <c r="G38" s="65"/>
      <c r="H38" s="65"/>
      <c r="I38" s="65"/>
    </row>
    <row r="39" spans="1:10" s="63" customFormat="1" ht="30.75" customHeight="1">
      <c r="A39" s="456" t="s">
        <v>223</v>
      </c>
      <c r="B39" s="456"/>
      <c r="C39" s="456"/>
      <c r="D39" s="456"/>
      <c r="E39" s="456"/>
      <c r="F39" s="456"/>
      <c r="G39" s="456"/>
      <c r="H39" s="456"/>
      <c r="I39" s="456"/>
      <c r="J39" s="137"/>
    </row>
    <row r="40" spans="1:10" s="63" customFormat="1" ht="30.75" customHeight="1">
      <c r="A40" s="456" t="s">
        <v>224</v>
      </c>
      <c r="B40" s="456"/>
      <c r="C40" s="456"/>
      <c r="D40" s="456"/>
      <c r="E40" s="456"/>
      <c r="F40" s="456"/>
      <c r="G40" s="456"/>
      <c r="H40" s="456"/>
      <c r="I40" s="456"/>
      <c r="J40" s="137"/>
    </row>
    <row r="41" spans="1:9" s="457" customFormat="1" ht="30.75" customHeight="1">
      <c r="A41" s="456" t="s">
        <v>225</v>
      </c>
      <c r="B41" s="456"/>
      <c r="C41" s="456"/>
      <c r="D41" s="456"/>
      <c r="E41" s="456"/>
      <c r="F41" s="456"/>
      <c r="G41" s="456"/>
      <c r="H41" s="456"/>
      <c r="I41" s="456"/>
    </row>
    <row r="42" spans="1:9" s="457" customFormat="1" ht="30.75" customHeight="1">
      <c r="A42" s="456" t="s">
        <v>472</v>
      </c>
      <c r="B42" s="456"/>
      <c r="C42" s="456"/>
      <c r="D42" s="456"/>
      <c r="E42" s="456"/>
      <c r="F42" s="456"/>
      <c r="G42" s="456"/>
      <c r="H42" s="456"/>
      <c r="I42" s="456"/>
    </row>
    <row r="43" spans="1:9" s="457" customFormat="1" ht="30.75" customHeight="1">
      <c r="A43" s="456" t="s">
        <v>473</v>
      </c>
      <c r="B43" s="456"/>
      <c r="C43" s="456"/>
      <c r="D43" s="456"/>
      <c r="E43" s="456"/>
      <c r="F43" s="456"/>
      <c r="G43" s="456"/>
      <c r="H43" s="456"/>
      <c r="I43" s="456"/>
    </row>
    <row r="44" spans="1:9" s="457" customFormat="1" ht="30.75" customHeight="1">
      <c r="A44" s="456" t="s">
        <v>474</v>
      </c>
      <c r="B44" s="456"/>
      <c r="C44" s="456"/>
      <c r="D44" s="456"/>
      <c r="E44" s="456"/>
      <c r="F44" s="456"/>
      <c r="G44" s="456"/>
      <c r="H44" s="456"/>
      <c r="I44" s="456"/>
    </row>
    <row r="45" spans="1:9" s="457" customFormat="1" ht="30.75" customHeight="1">
      <c r="A45" s="456" t="s">
        <v>226</v>
      </c>
      <c r="B45" s="456"/>
      <c r="C45" s="456"/>
      <c r="D45" s="456"/>
      <c r="E45" s="456"/>
      <c r="F45" s="456"/>
      <c r="G45" s="456"/>
      <c r="H45" s="456"/>
      <c r="I45" s="456"/>
    </row>
    <row r="46" spans="1:9" s="457" customFormat="1" ht="30.75" customHeight="1">
      <c r="A46" s="456" t="s">
        <v>227</v>
      </c>
      <c r="B46" s="456"/>
      <c r="C46" s="456"/>
      <c r="D46" s="456"/>
      <c r="E46" s="456"/>
      <c r="F46" s="456"/>
      <c r="G46" s="456"/>
      <c r="H46" s="456"/>
      <c r="I46" s="456"/>
    </row>
    <row r="47" spans="1:9" s="457" customFormat="1" ht="30.75" customHeight="1">
      <c r="A47" s="456" t="s">
        <v>561</v>
      </c>
      <c r="B47" s="456"/>
      <c r="C47" s="456"/>
      <c r="D47" s="456"/>
      <c r="E47" s="456"/>
      <c r="F47" s="456"/>
      <c r="G47" s="456"/>
      <c r="H47" s="456"/>
      <c r="I47" s="456"/>
    </row>
    <row r="48" spans="1:9" s="457" customFormat="1" ht="30.75" customHeight="1">
      <c r="A48" s="456" t="s">
        <v>560</v>
      </c>
      <c r="B48" s="456"/>
      <c r="C48" s="456"/>
      <c r="D48" s="456"/>
      <c r="E48" s="456"/>
      <c r="F48" s="456"/>
      <c r="G48" s="456"/>
      <c r="H48" s="456"/>
      <c r="I48" s="456"/>
    </row>
    <row r="49" spans="1:9" s="457" customFormat="1" ht="30.75" customHeight="1">
      <c r="A49" s="456" t="s">
        <v>562</v>
      </c>
      <c r="B49" s="456"/>
      <c r="C49" s="456"/>
      <c r="D49" s="456"/>
      <c r="E49" s="456"/>
      <c r="F49" s="456"/>
      <c r="G49" s="456"/>
      <c r="H49" s="456"/>
      <c r="I49" s="456"/>
    </row>
    <row r="50" spans="1:13" s="457" customFormat="1" ht="30.75" customHeight="1">
      <c r="A50" s="456" t="s">
        <v>563</v>
      </c>
      <c r="B50" s="456"/>
      <c r="C50" s="456"/>
      <c r="D50" s="456"/>
      <c r="E50" s="456"/>
      <c r="F50" s="456"/>
      <c r="G50" s="456"/>
      <c r="H50" s="456"/>
      <c r="I50" s="456"/>
      <c r="M50" s="458"/>
    </row>
    <row r="51" spans="1:13" s="457" customFormat="1" ht="30.75" customHeight="1">
      <c r="A51" s="456" t="s">
        <v>228</v>
      </c>
      <c r="B51" s="456"/>
      <c r="C51" s="456"/>
      <c r="D51" s="456"/>
      <c r="E51" s="456"/>
      <c r="F51" s="456"/>
      <c r="G51" s="456"/>
      <c r="H51" s="456"/>
      <c r="I51" s="456"/>
      <c r="M51" s="458"/>
    </row>
    <row r="52" spans="1:13" s="457" customFormat="1" ht="30.75" customHeight="1">
      <c r="A52" s="655" t="s">
        <v>229</v>
      </c>
      <c r="B52" s="655"/>
      <c r="C52" s="655"/>
      <c r="D52" s="655"/>
      <c r="E52" s="655"/>
      <c r="F52" s="593"/>
      <c r="G52" s="593"/>
      <c r="H52" s="593"/>
      <c r="I52" s="593"/>
      <c r="M52" s="458"/>
    </row>
    <row r="53" spans="1:13" s="457" customFormat="1" ht="30.75" customHeight="1">
      <c r="A53" s="456"/>
      <c r="B53" s="456"/>
      <c r="C53" s="456"/>
      <c r="D53" s="456"/>
      <c r="E53" s="606" t="s">
        <v>230</v>
      </c>
      <c r="F53" s="593"/>
      <c r="G53" s="593"/>
      <c r="H53" s="593"/>
      <c r="I53" s="593"/>
      <c r="M53" s="458"/>
    </row>
    <row r="54" spans="1:13" s="457" customFormat="1" ht="30.75" customHeight="1">
      <c r="A54" s="456" t="s">
        <v>475</v>
      </c>
      <c r="B54" s="456"/>
      <c r="C54" s="456"/>
      <c r="D54" s="456"/>
      <c r="E54" s="607"/>
      <c r="F54" s="593"/>
      <c r="G54" s="593"/>
      <c r="H54" s="593"/>
      <c r="I54" s="593"/>
      <c r="M54" s="458"/>
    </row>
    <row r="55" spans="1:13" s="457" customFormat="1" ht="30.75" customHeight="1">
      <c r="A55" s="456" t="s">
        <v>231</v>
      </c>
      <c r="B55" s="456"/>
      <c r="C55" s="456"/>
      <c r="D55" s="456"/>
      <c r="E55" s="607" t="s">
        <v>232</v>
      </c>
      <c r="F55" s="593"/>
      <c r="G55" s="593"/>
      <c r="H55" s="593"/>
      <c r="I55" s="593"/>
      <c r="M55" s="458"/>
    </row>
    <row r="56" spans="1:13" s="457" customFormat="1" ht="30.75" customHeight="1">
      <c r="A56" s="456" t="s">
        <v>476</v>
      </c>
      <c r="B56" s="456"/>
      <c r="C56" s="456"/>
      <c r="D56" s="456"/>
      <c r="E56" s="607" t="s">
        <v>233</v>
      </c>
      <c r="F56" s="593"/>
      <c r="G56" s="593"/>
      <c r="H56" s="593"/>
      <c r="I56" s="593"/>
      <c r="M56" s="458"/>
    </row>
    <row r="57" spans="1:13" s="457" customFormat="1" ht="30.75" customHeight="1">
      <c r="A57" s="456" t="s">
        <v>477</v>
      </c>
      <c r="B57" s="456"/>
      <c r="C57" s="456"/>
      <c r="D57" s="456"/>
      <c r="E57" s="607" t="s">
        <v>233</v>
      </c>
      <c r="F57" s="593"/>
      <c r="G57" s="593"/>
      <c r="H57" s="593"/>
      <c r="I57" s="593"/>
      <c r="M57" s="458"/>
    </row>
    <row r="58" spans="1:13" s="457" customFormat="1" ht="30.75" customHeight="1">
      <c r="A58" s="456" t="s">
        <v>557</v>
      </c>
      <c r="B58" s="456"/>
      <c r="C58" s="456"/>
      <c r="D58" s="456"/>
      <c r="E58" s="456"/>
      <c r="F58" s="456"/>
      <c r="G58" s="456"/>
      <c r="H58" s="456"/>
      <c r="I58" s="456"/>
      <c r="M58" s="458"/>
    </row>
    <row r="59" spans="1:13" s="457" customFormat="1" ht="30.75" customHeight="1">
      <c r="A59" s="456" t="s">
        <v>559</v>
      </c>
      <c r="B59" s="456"/>
      <c r="C59" s="456"/>
      <c r="D59" s="456"/>
      <c r="E59" s="456"/>
      <c r="F59" s="456"/>
      <c r="G59" s="456"/>
      <c r="H59" s="593"/>
      <c r="I59" s="593"/>
      <c r="M59" s="458"/>
    </row>
    <row r="60" spans="1:13" s="457" customFormat="1" ht="30.75" customHeight="1">
      <c r="A60" s="456" t="s">
        <v>558</v>
      </c>
      <c r="B60" s="456"/>
      <c r="C60" s="456"/>
      <c r="D60" s="456"/>
      <c r="E60" s="456"/>
      <c r="F60" s="456"/>
      <c r="G60" s="456"/>
      <c r="H60" s="593"/>
      <c r="I60" s="593"/>
      <c r="M60" s="458"/>
    </row>
    <row r="61" spans="1:13" s="457" customFormat="1" ht="30.75" customHeight="1">
      <c r="A61" s="456"/>
      <c r="B61" s="456"/>
      <c r="C61" s="456"/>
      <c r="D61" s="456"/>
      <c r="E61" s="456"/>
      <c r="F61" s="456"/>
      <c r="G61" s="456"/>
      <c r="H61" s="593"/>
      <c r="I61" s="593"/>
      <c r="M61" s="458"/>
    </row>
    <row r="62" spans="1:13" s="457" customFormat="1" ht="23.25" customHeight="1">
      <c r="A62" s="652" t="s">
        <v>138</v>
      </c>
      <c r="B62" s="652"/>
      <c r="C62" s="652"/>
      <c r="D62" s="652"/>
      <c r="E62" s="652"/>
      <c r="F62" s="652"/>
      <c r="G62" s="652"/>
      <c r="H62" s="593"/>
      <c r="I62" s="593"/>
      <c r="M62" s="458"/>
    </row>
    <row r="63" spans="1:13" s="457" customFormat="1" ht="23.25" customHeight="1">
      <c r="A63" s="456"/>
      <c r="B63" s="456"/>
      <c r="C63" s="456"/>
      <c r="D63" s="456"/>
      <c r="E63" s="456"/>
      <c r="F63" s="456"/>
      <c r="G63" s="456"/>
      <c r="H63" s="593"/>
      <c r="I63" s="593"/>
      <c r="M63" s="458"/>
    </row>
    <row r="64" spans="1:6" s="455" customFormat="1" ht="23.25" customHeight="1">
      <c r="A64" s="608" t="s">
        <v>418</v>
      </c>
      <c r="B64" s="453"/>
      <c r="C64" s="53"/>
      <c r="D64" s="54"/>
      <c r="E64" s="54"/>
      <c r="F64" s="54"/>
    </row>
    <row r="65" spans="1:6" s="455" customFormat="1" ht="23.25" customHeight="1">
      <c r="A65" s="52" t="s">
        <v>422</v>
      </c>
      <c r="B65" s="453"/>
      <c r="C65" s="53"/>
      <c r="D65" s="54"/>
      <c r="E65" s="54"/>
      <c r="F65" s="54"/>
    </row>
    <row r="66" spans="1:6" s="455" customFormat="1" ht="23.25" customHeight="1">
      <c r="A66" s="52" t="s">
        <v>419</v>
      </c>
      <c r="B66" s="52"/>
      <c r="C66" s="53"/>
      <c r="D66" s="54"/>
      <c r="E66" s="54"/>
      <c r="F66" s="54"/>
    </row>
    <row r="67" ht="23.25" customHeight="1">
      <c r="A67" s="52" t="s">
        <v>1207</v>
      </c>
    </row>
    <row r="68" ht="23.25" customHeight="1">
      <c r="A68" s="453" t="s">
        <v>886</v>
      </c>
    </row>
    <row r="69" spans="1:6" s="455" customFormat="1" ht="23.25" customHeight="1">
      <c r="A69" s="52" t="s">
        <v>420</v>
      </c>
      <c r="B69" s="453"/>
      <c r="C69" s="52"/>
      <c r="D69" s="52"/>
      <c r="E69" s="53"/>
      <c r="F69" s="54"/>
    </row>
    <row r="70" spans="1:6" s="455" customFormat="1" ht="23.25" customHeight="1">
      <c r="A70" s="52" t="s">
        <v>421</v>
      </c>
      <c r="B70" s="453"/>
      <c r="C70" s="52"/>
      <c r="D70" s="52"/>
      <c r="E70" s="53"/>
      <c r="F70" s="54"/>
    </row>
    <row r="71" spans="1:6" s="455" customFormat="1" ht="23.25" customHeight="1">
      <c r="A71" s="52" t="s">
        <v>778</v>
      </c>
      <c r="B71" s="453"/>
      <c r="C71" s="52"/>
      <c r="D71" s="52"/>
      <c r="E71" s="53"/>
      <c r="F71" s="54"/>
    </row>
    <row r="72" spans="1:6" s="455" customFormat="1" ht="23.25" customHeight="1">
      <c r="A72" s="52" t="s">
        <v>779</v>
      </c>
      <c r="B72" s="453"/>
      <c r="C72" s="52"/>
      <c r="D72" s="52"/>
      <c r="E72" s="53"/>
      <c r="F72" s="54"/>
    </row>
    <row r="73" spans="1:6" s="455" customFormat="1" ht="23.25" customHeight="1">
      <c r="A73" s="52" t="s">
        <v>423</v>
      </c>
      <c r="B73" s="52"/>
      <c r="C73" s="53"/>
      <c r="D73" s="54"/>
      <c r="E73" s="54"/>
      <c r="F73" s="54"/>
    </row>
    <row r="74" spans="1:6" s="455" customFormat="1" ht="23.25" customHeight="1">
      <c r="A74" s="52" t="s">
        <v>780</v>
      </c>
      <c r="B74" s="52"/>
      <c r="C74" s="53"/>
      <c r="D74" s="54"/>
      <c r="E74" s="54"/>
      <c r="F74" s="54"/>
    </row>
    <row r="75" spans="1:6" s="455" customFormat="1" ht="23.25" customHeight="1">
      <c r="A75" s="52" t="s">
        <v>781</v>
      </c>
      <c r="B75" s="52"/>
      <c r="C75" s="53"/>
      <c r="D75" s="54"/>
      <c r="E75" s="54"/>
      <c r="F75" s="54"/>
    </row>
    <row r="76" spans="1:6" s="455" customFormat="1" ht="23.25" customHeight="1">
      <c r="A76" s="52" t="s">
        <v>424</v>
      </c>
      <c r="B76" s="52"/>
      <c r="C76" s="53"/>
      <c r="D76" s="54"/>
      <c r="E76" s="54"/>
      <c r="F76" s="54"/>
    </row>
    <row r="77" spans="1:6" s="455" customFormat="1" ht="23.25" customHeight="1">
      <c r="A77" s="52" t="s">
        <v>782</v>
      </c>
      <c r="B77" s="52"/>
      <c r="C77" s="53"/>
      <c r="D77" s="54"/>
      <c r="E77" s="54"/>
      <c r="F77" s="54"/>
    </row>
    <row r="78" spans="1:6" s="455" customFormat="1" ht="23.25" customHeight="1">
      <c r="A78" s="52" t="s">
        <v>783</v>
      </c>
      <c r="B78" s="52"/>
      <c r="C78" s="53"/>
      <c r="D78" s="54"/>
      <c r="E78" s="54"/>
      <c r="F78" s="54"/>
    </row>
    <row r="79" spans="1:6" s="455" customFormat="1" ht="23.25" customHeight="1">
      <c r="A79" s="52" t="s">
        <v>425</v>
      </c>
      <c r="B79" s="52"/>
      <c r="C79" s="53"/>
      <c r="D79" s="54"/>
      <c r="E79" s="54"/>
      <c r="F79" s="54"/>
    </row>
    <row r="80" spans="1:6" s="455" customFormat="1" ht="23.25" customHeight="1">
      <c r="A80" s="52" t="s">
        <v>449</v>
      </c>
      <c r="B80" s="52"/>
      <c r="C80" s="53"/>
      <c r="D80" s="54"/>
      <c r="E80" s="54"/>
      <c r="F80" s="54"/>
    </row>
    <row r="81" spans="1:15" s="455" customFormat="1" ht="23.25" customHeight="1">
      <c r="A81" s="52" t="s">
        <v>451</v>
      </c>
      <c r="B81" s="52"/>
      <c r="C81" s="53"/>
      <c r="D81" s="54"/>
      <c r="E81" s="54"/>
      <c r="F81" s="54"/>
      <c r="O81" s="608"/>
    </row>
    <row r="82" spans="1:6" s="455" customFormat="1" ht="23.25" customHeight="1">
      <c r="A82" s="52" t="s">
        <v>1088</v>
      </c>
      <c r="B82" s="52"/>
      <c r="C82" s="53"/>
      <c r="D82" s="54"/>
      <c r="E82" s="54"/>
      <c r="F82" s="54"/>
    </row>
    <row r="83" spans="1:6" s="455" customFormat="1" ht="23.25" customHeight="1">
      <c r="A83" s="52" t="s">
        <v>1089</v>
      </c>
      <c r="B83" s="52"/>
      <c r="C83" s="53"/>
      <c r="D83" s="54"/>
      <c r="E83" s="54"/>
      <c r="F83" s="54"/>
    </row>
    <row r="84" spans="1:6" s="455" customFormat="1" ht="23.25" customHeight="1">
      <c r="A84" s="52" t="s">
        <v>1091</v>
      </c>
      <c r="B84" s="52"/>
      <c r="C84" s="53"/>
      <c r="D84" s="54"/>
      <c r="E84" s="54"/>
      <c r="F84" s="54"/>
    </row>
    <row r="85" spans="1:6" s="455" customFormat="1" ht="23.25" customHeight="1">
      <c r="A85" s="52" t="s">
        <v>450</v>
      </c>
      <c r="B85" s="52"/>
      <c r="C85" s="53"/>
      <c r="D85" s="54"/>
      <c r="E85" s="54"/>
      <c r="F85" s="54"/>
    </row>
    <row r="86" spans="1:6" s="455" customFormat="1" ht="23.25" customHeight="1">
      <c r="A86" s="52" t="s">
        <v>1092</v>
      </c>
      <c r="B86" s="52"/>
      <c r="C86" s="53"/>
      <c r="D86" s="54"/>
      <c r="E86" s="54"/>
      <c r="F86" s="54"/>
    </row>
    <row r="87" spans="1:6" s="455" customFormat="1" ht="23.25" customHeight="1">
      <c r="A87" s="52" t="s">
        <v>91</v>
      </c>
      <c r="B87" s="52"/>
      <c r="C87" s="53"/>
      <c r="D87" s="54"/>
      <c r="E87" s="54"/>
      <c r="F87" s="54"/>
    </row>
    <row r="88" spans="1:6" s="455" customFormat="1" ht="23.25" customHeight="1">
      <c r="A88" s="52" t="s">
        <v>426</v>
      </c>
      <c r="B88" s="52"/>
      <c r="C88" s="53"/>
      <c r="D88" s="54"/>
      <c r="E88" s="54"/>
      <c r="F88" s="54"/>
    </row>
    <row r="89" spans="1:6" s="455" customFormat="1" ht="23.25" customHeight="1">
      <c r="A89" s="52" t="s">
        <v>1048</v>
      </c>
      <c r="B89" s="52"/>
      <c r="C89" s="53"/>
      <c r="D89" s="54"/>
      <c r="E89" s="54"/>
      <c r="F89" s="54"/>
    </row>
    <row r="90" spans="1:6" s="455" customFormat="1" ht="23.25" customHeight="1">
      <c r="A90" s="52" t="s">
        <v>784</v>
      </c>
      <c r="B90" s="52"/>
      <c r="C90" s="53"/>
      <c r="D90" s="54"/>
      <c r="E90" s="54"/>
      <c r="F90" s="54"/>
    </row>
    <row r="91" spans="1:6" s="455" customFormat="1" ht="23.25" customHeight="1">
      <c r="A91" s="52" t="s">
        <v>429</v>
      </c>
      <c r="B91" s="52"/>
      <c r="C91" s="53"/>
      <c r="D91" s="54"/>
      <c r="E91" s="54"/>
      <c r="F91" s="54"/>
    </row>
    <row r="92" spans="1:6" s="455" customFormat="1" ht="23.25" customHeight="1">
      <c r="A92" s="52" t="s">
        <v>1050</v>
      </c>
      <c r="B92" s="52"/>
      <c r="C92" s="53"/>
      <c r="D92" s="54"/>
      <c r="E92" s="54"/>
      <c r="F92" s="54"/>
    </row>
    <row r="93" spans="1:6" s="455" customFormat="1" ht="23.25" customHeight="1">
      <c r="A93" s="52" t="s">
        <v>1049</v>
      </c>
      <c r="B93" s="52"/>
      <c r="C93" s="53"/>
      <c r="D93" s="54"/>
      <c r="E93" s="54"/>
      <c r="F93" s="54"/>
    </row>
    <row r="94" spans="1:6" s="455" customFormat="1" ht="23.25" customHeight="1">
      <c r="A94" s="52" t="s">
        <v>428</v>
      </c>
      <c r="B94" s="52"/>
      <c r="C94" s="53"/>
      <c r="D94" s="54"/>
      <c r="E94" s="54"/>
      <c r="F94" s="54"/>
    </row>
    <row r="95" spans="1:6" s="455" customFormat="1" ht="23.25" customHeight="1">
      <c r="A95" s="52" t="s">
        <v>785</v>
      </c>
      <c r="B95" s="52"/>
      <c r="C95" s="53"/>
      <c r="D95" s="54"/>
      <c r="E95" s="54"/>
      <c r="F95" s="54"/>
    </row>
    <row r="96" spans="1:6" s="455" customFormat="1" ht="23.25" customHeight="1">
      <c r="A96" s="52" t="s">
        <v>427</v>
      </c>
      <c r="B96" s="52"/>
      <c r="C96" s="53"/>
      <c r="D96" s="54"/>
      <c r="E96" s="54"/>
      <c r="F96" s="54"/>
    </row>
    <row r="97" spans="1:6" s="455" customFormat="1" ht="23.25" customHeight="1">
      <c r="A97" s="52" t="s">
        <v>1052</v>
      </c>
      <c r="B97" s="52"/>
      <c r="C97" s="53"/>
      <c r="D97" s="54"/>
      <c r="E97" s="54"/>
      <c r="F97" s="54"/>
    </row>
    <row r="98" spans="1:6" s="455" customFormat="1" ht="23.25" customHeight="1">
      <c r="A98" s="52" t="s">
        <v>1051</v>
      </c>
      <c r="B98" s="52"/>
      <c r="C98" s="53"/>
      <c r="D98" s="54"/>
      <c r="E98" s="54"/>
      <c r="F98" s="54"/>
    </row>
    <row r="99" spans="1:7" s="455" customFormat="1" ht="24.75" customHeight="1">
      <c r="A99" s="652" t="s">
        <v>139</v>
      </c>
      <c r="B99" s="652"/>
      <c r="C99" s="652"/>
      <c r="D99" s="652"/>
      <c r="E99" s="652"/>
      <c r="F99" s="652"/>
      <c r="G99" s="652"/>
    </row>
    <row r="100" spans="1:6" s="455" customFormat="1" ht="24.75" customHeight="1">
      <c r="A100" s="52"/>
      <c r="B100" s="52"/>
      <c r="C100" s="53"/>
      <c r="D100" s="54"/>
      <c r="E100" s="54"/>
      <c r="F100" s="54"/>
    </row>
    <row r="101" spans="1:6" s="455" customFormat="1" ht="24.75" customHeight="1">
      <c r="A101" s="608" t="s">
        <v>478</v>
      </c>
      <c r="B101" s="52"/>
      <c r="C101" s="53"/>
      <c r="D101" s="54"/>
      <c r="E101" s="54"/>
      <c r="F101" s="54"/>
    </row>
    <row r="102" spans="1:6" s="455" customFormat="1" ht="24.75" customHeight="1">
      <c r="A102" s="52" t="s">
        <v>434</v>
      </c>
      <c r="B102" s="52"/>
      <c r="C102" s="53"/>
      <c r="D102" s="54"/>
      <c r="E102" s="54"/>
      <c r="F102" s="54"/>
    </row>
    <row r="103" spans="1:6" s="455" customFormat="1" ht="24.75" customHeight="1">
      <c r="A103" s="52" t="s">
        <v>1090</v>
      </c>
      <c r="B103" s="52"/>
      <c r="C103" s="53"/>
      <c r="D103" s="54"/>
      <c r="E103" s="54"/>
      <c r="F103" s="54"/>
    </row>
    <row r="104" spans="1:6" s="455" customFormat="1" ht="24.75" customHeight="1">
      <c r="A104" s="52" t="s">
        <v>269</v>
      </c>
      <c r="B104" s="52"/>
      <c r="C104" s="53"/>
      <c r="D104" s="54"/>
      <c r="E104" s="54"/>
      <c r="F104" s="54"/>
    </row>
    <row r="105" spans="1:6" s="455" customFormat="1" ht="24.75" customHeight="1">
      <c r="A105" s="52" t="s">
        <v>270</v>
      </c>
      <c r="B105" s="52"/>
      <c r="C105" s="53"/>
      <c r="D105" s="54"/>
      <c r="E105" s="54"/>
      <c r="F105" s="54"/>
    </row>
    <row r="106" spans="1:5" s="455" customFormat="1" ht="24.75" customHeight="1">
      <c r="A106" s="609" t="s">
        <v>92</v>
      </c>
      <c r="B106" s="52"/>
      <c r="D106" s="610"/>
      <c r="E106" s="611" t="s">
        <v>96</v>
      </c>
    </row>
    <row r="107" spans="1:5" s="455" customFormat="1" ht="24.75" customHeight="1">
      <c r="A107" s="609" t="s">
        <v>93</v>
      </c>
      <c r="B107" s="52"/>
      <c r="D107" s="610"/>
      <c r="E107" s="611" t="s">
        <v>1063</v>
      </c>
    </row>
    <row r="108" spans="1:5" s="455" customFormat="1" ht="24.75" customHeight="1">
      <c r="A108" s="609" t="s">
        <v>94</v>
      </c>
      <c r="B108" s="52"/>
      <c r="D108" s="610"/>
      <c r="E108" s="611" t="s">
        <v>97</v>
      </c>
    </row>
    <row r="109" spans="1:5" s="455" customFormat="1" ht="24.75" customHeight="1">
      <c r="A109" s="609" t="s">
        <v>95</v>
      </c>
      <c r="B109" s="52"/>
      <c r="D109" s="610"/>
      <c r="E109" s="611" t="s">
        <v>1062</v>
      </c>
    </row>
    <row r="110" spans="1:6" s="455" customFormat="1" ht="24.75" customHeight="1">
      <c r="A110" s="609" t="s">
        <v>435</v>
      </c>
      <c r="B110" s="52"/>
      <c r="D110" s="54"/>
      <c r="E110" s="54"/>
      <c r="F110" s="611"/>
    </row>
    <row r="111" spans="1:6" s="455" customFormat="1" ht="24.75" customHeight="1">
      <c r="A111" s="609" t="s">
        <v>1065</v>
      </c>
      <c r="B111" s="52"/>
      <c r="D111" s="54"/>
      <c r="E111" s="54"/>
      <c r="F111" s="611"/>
    </row>
    <row r="112" spans="1:6" s="455" customFormat="1" ht="24.75" customHeight="1">
      <c r="A112" s="609" t="s">
        <v>1054</v>
      </c>
      <c r="B112" s="52"/>
      <c r="D112" s="54"/>
      <c r="E112" s="54"/>
      <c r="F112" s="611"/>
    </row>
    <row r="113" spans="1:6" s="455" customFormat="1" ht="24.75" customHeight="1">
      <c r="A113" s="52" t="s">
        <v>436</v>
      </c>
      <c r="B113" s="52"/>
      <c r="C113" s="53"/>
      <c r="D113" s="54"/>
      <c r="E113" s="54"/>
      <c r="F113" s="54"/>
    </row>
    <row r="114" spans="1:6" s="455" customFormat="1" ht="24.75" customHeight="1">
      <c r="A114" s="52" t="s">
        <v>1058</v>
      </c>
      <c r="B114" s="52"/>
      <c r="C114" s="53"/>
      <c r="D114" s="54"/>
      <c r="E114" s="54"/>
      <c r="F114" s="54"/>
    </row>
    <row r="115" spans="1:6" s="455" customFormat="1" ht="24.75" customHeight="1">
      <c r="A115" s="52" t="s">
        <v>1055</v>
      </c>
      <c r="B115" s="52"/>
      <c r="C115" s="53"/>
      <c r="D115" s="54"/>
      <c r="E115" s="54"/>
      <c r="F115" s="54"/>
    </row>
    <row r="116" spans="1:6" s="455" customFormat="1" ht="24.75" customHeight="1">
      <c r="A116" s="52" t="s">
        <v>1056</v>
      </c>
      <c r="B116" s="52"/>
      <c r="C116" s="53"/>
      <c r="D116" s="54"/>
      <c r="E116" s="54"/>
      <c r="F116" s="50"/>
    </row>
    <row r="117" spans="1:6" s="455" customFormat="1" ht="24.75" customHeight="1">
      <c r="A117" s="52" t="s">
        <v>1057</v>
      </c>
      <c r="B117" s="52"/>
      <c r="C117" s="53"/>
      <c r="D117" s="54"/>
      <c r="E117" s="54"/>
      <c r="F117" s="50"/>
    </row>
    <row r="118" spans="1:6" s="455" customFormat="1" ht="24.75" customHeight="1">
      <c r="A118" s="52" t="s">
        <v>437</v>
      </c>
      <c r="B118" s="52"/>
      <c r="C118" s="53"/>
      <c r="D118" s="54"/>
      <c r="E118" s="54"/>
      <c r="F118" s="50"/>
    </row>
    <row r="119" spans="1:6" s="455" customFormat="1" ht="24.75" customHeight="1">
      <c r="A119" s="52" t="s">
        <v>1064</v>
      </c>
      <c r="B119" s="52"/>
      <c r="C119" s="53"/>
      <c r="D119" s="54"/>
      <c r="E119" s="54"/>
      <c r="F119" s="54"/>
    </row>
    <row r="120" spans="1:6" s="455" customFormat="1" ht="24.75" customHeight="1">
      <c r="A120" s="52" t="s">
        <v>430</v>
      </c>
      <c r="B120" s="52"/>
      <c r="C120" s="53"/>
      <c r="D120" s="54"/>
      <c r="E120" s="54"/>
      <c r="F120" s="54"/>
    </row>
    <row r="121" spans="1:6" s="455" customFormat="1" ht="24.75" customHeight="1">
      <c r="A121" s="52" t="s">
        <v>431</v>
      </c>
      <c r="B121" s="52"/>
      <c r="C121" s="53"/>
      <c r="D121" s="54"/>
      <c r="E121" s="54"/>
      <c r="F121" s="54"/>
    </row>
    <row r="122" spans="1:6" s="455" customFormat="1" ht="24.75" customHeight="1">
      <c r="A122" s="52" t="s">
        <v>432</v>
      </c>
      <c r="B122" s="52"/>
      <c r="C122" s="53"/>
      <c r="D122" s="54"/>
      <c r="E122" s="54"/>
      <c r="F122" s="54"/>
    </row>
    <row r="123" spans="1:6" s="455" customFormat="1" ht="24.75" customHeight="1">
      <c r="A123" s="52" t="s">
        <v>235</v>
      </c>
      <c r="B123" s="52"/>
      <c r="C123" s="53"/>
      <c r="D123" s="54"/>
      <c r="E123" s="54"/>
      <c r="F123" s="54"/>
    </row>
    <row r="124" spans="1:6" s="455" customFormat="1" ht="24.75" customHeight="1">
      <c r="A124" s="52" t="s">
        <v>438</v>
      </c>
      <c r="B124" s="52"/>
      <c r="C124" s="53"/>
      <c r="D124" s="54"/>
      <c r="E124" s="54"/>
      <c r="F124" s="54"/>
    </row>
    <row r="125" spans="1:6" s="455" customFormat="1" ht="24.75" customHeight="1">
      <c r="A125" s="52" t="s">
        <v>1066</v>
      </c>
      <c r="B125" s="52"/>
      <c r="C125" s="53"/>
      <c r="D125" s="54"/>
      <c r="E125" s="54"/>
      <c r="F125" s="54"/>
    </row>
    <row r="126" spans="1:6" s="455" customFormat="1" ht="24.75" customHeight="1">
      <c r="A126" s="52" t="s">
        <v>439</v>
      </c>
      <c r="B126" s="52"/>
      <c r="C126" s="53"/>
      <c r="D126" s="54"/>
      <c r="E126" s="54"/>
      <c r="F126" s="54"/>
    </row>
    <row r="127" spans="1:6" s="455" customFormat="1" ht="24.75" customHeight="1">
      <c r="A127" s="52" t="s">
        <v>1240</v>
      </c>
      <c r="B127" s="52"/>
      <c r="C127" s="53"/>
      <c r="D127" s="54"/>
      <c r="E127" s="54"/>
      <c r="F127" s="54"/>
    </row>
    <row r="128" spans="1:6" s="455" customFormat="1" ht="24.75" customHeight="1">
      <c r="A128" s="52" t="s">
        <v>1241</v>
      </c>
      <c r="B128" s="52"/>
      <c r="C128" s="53"/>
      <c r="D128" s="54"/>
      <c r="E128" s="54"/>
      <c r="F128" s="54"/>
    </row>
    <row r="129" spans="1:6" s="455" customFormat="1" ht="24.75" customHeight="1">
      <c r="A129" s="52" t="s">
        <v>440</v>
      </c>
      <c r="B129" s="52"/>
      <c r="C129" s="53"/>
      <c r="D129" s="54"/>
      <c r="E129" s="54"/>
      <c r="F129" s="54"/>
    </row>
    <row r="130" spans="1:6" s="455" customFormat="1" ht="24.75" customHeight="1">
      <c r="A130" s="52" t="s">
        <v>66</v>
      </c>
      <c r="B130" s="52"/>
      <c r="C130" s="53"/>
      <c r="D130" s="54"/>
      <c r="E130" s="54"/>
      <c r="F130" s="54"/>
    </row>
    <row r="131" spans="1:6" s="455" customFormat="1" ht="24.75" customHeight="1">
      <c r="A131" s="52" t="s">
        <v>67</v>
      </c>
      <c r="B131" s="52"/>
      <c r="C131" s="53"/>
      <c r="D131" s="54"/>
      <c r="E131" s="54"/>
      <c r="F131" s="54"/>
    </row>
    <row r="132" spans="1:6" s="455" customFormat="1" ht="24.75" customHeight="1">
      <c r="A132" s="52" t="s">
        <v>1067</v>
      </c>
      <c r="B132" s="52"/>
      <c r="C132" s="53"/>
      <c r="D132" s="54"/>
      <c r="E132" s="54"/>
      <c r="F132" s="54"/>
    </row>
    <row r="133" spans="1:6" s="455" customFormat="1" ht="24.75" customHeight="1">
      <c r="A133" s="52"/>
      <c r="B133" s="52"/>
      <c r="C133" s="53"/>
      <c r="D133" s="54"/>
      <c r="E133" s="54"/>
      <c r="F133" s="54"/>
    </row>
    <row r="134" spans="1:7" s="455" customFormat="1" ht="24.75" customHeight="1">
      <c r="A134" s="652" t="s">
        <v>140</v>
      </c>
      <c r="B134" s="652"/>
      <c r="C134" s="652"/>
      <c r="D134" s="652"/>
      <c r="E134" s="652"/>
      <c r="F134" s="652"/>
      <c r="G134" s="652"/>
    </row>
    <row r="135" spans="1:7" s="455" customFormat="1" ht="24.75" customHeight="1">
      <c r="A135" s="605"/>
      <c r="B135" s="605"/>
      <c r="C135" s="605"/>
      <c r="D135" s="605"/>
      <c r="E135" s="605"/>
      <c r="F135" s="605"/>
      <c r="G135" s="605"/>
    </row>
    <row r="136" spans="1:6" s="455" customFormat="1" ht="24.75" customHeight="1">
      <c r="A136" s="608" t="s">
        <v>478</v>
      </c>
      <c r="B136" s="52"/>
      <c r="C136" s="53"/>
      <c r="D136" s="54"/>
      <c r="E136" s="54"/>
      <c r="F136" s="54"/>
    </row>
    <row r="137" spans="1:6" ht="24.75" customHeight="1">
      <c r="A137" s="52" t="s">
        <v>1095</v>
      </c>
      <c r="B137" s="52"/>
      <c r="C137" s="53"/>
      <c r="D137" s="54"/>
      <c r="E137" s="54"/>
      <c r="F137" s="54"/>
    </row>
    <row r="138" spans="1:6" ht="24.75" customHeight="1">
      <c r="A138" s="52" t="s">
        <v>1096</v>
      </c>
      <c r="B138" s="52"/>
      <c r="C138" s="53"/>
      <c r="D138" s="54"/>
      <c r="E138" s="54"/>
      <c r="F138" s="54"/>
    </row>
    <row r="139" spans="1:6" ht="24.75" customHeight="1">
      <c r="A139" s="52" t="s">
        <v>510</v>
      </c>
      <c r="B139" s="52"/>
      <c r="C139" s="53"/>
      <c r="D139" s="54"/>
      <c r="E139" s="54"/>
      <c r="F139" s="54"/>
    </row>
    <row r="140" spans="1:6" ht="24.75" customHeight="1">
      <c r="A140" s="52" t="s">
        <v>1093</v>
      </c>
      <c r="B140" s="52"/>
      <c r="C140" s="53"/>
      <c r="D140" s="54"/>
      <c r="E140" s="54"/>
      <c r="F140" s="54"/>
    </row>
    <row r="141" spans="1:6" ht="24.75" customHeight="1">
      <c r="A141" s="52" t="s">
        <v>1208</v>
      </c>
      <c r="B141" s="52"/>
      <c r="C141" s="53"/>
      <c r="D141" s="54"/>
      <c r="E141" s="54"/>
      <c r="F141" s="54"/>
    </row>
    <row r="142" spans="1:6" ht="24.75" customHeight="1">
      <c r="A142" s="52" t="s">
        <v>1068</v>
      </c>
      <c r="B142" s="52"/>
      <c r="C142" s="53"/>
      <c r="D142" s="54"/>
      <c r="E142" s="54"/>
      <c r="F142" s="54"/>
    </row>
    <row r="143" spans="1:6" ht="24.75" customHeight="1">
      <c r="A143" s="52" t="s">
        <v>1069</v>
      </c>
      <c r="B143" s="52"/>
      <c r="C143" s="53"/>
      <c r="D143" s="54"/>
      <c r="E143" s="54"/>
      <c r="F143" s="54"/>
    </row>
    <row r="144" spans="1:6" ht="24.75" customHeight="1">
      <c r="A144" s="52" t="s">
        <v>1094</v>
      </c>
      <c r="B144" s="52"/>
      <c r="C144" s="53"/>
      <c r="D144" s="54"/>
      <c r="E144" s="54"/>
      <c r="F144" s="54"/>
    </row>
    <row r="145" spans="1:6" ht="24.75" customHeight="1">
      <c r="A145" s="52" t="s">
        <v>98</v>
      </c>
      <c r="B145" s="52"/>
      <c r="C145" s="53"/>
      <c r="D145" s="54"/>
      <c r="E145" s="54"/>
      <c r="F145" s="54"/>
    </row>
    <row r="146" spans="1:6" ht="24.75" customHeight="1">
      <c r="A146" s="52" t="s">
        <v>75</v>
      </c>
      <c r="B146" s="52"/>
      <c r="C146" s="53"/>
      <c r="D146" s="54"/>
      <c r="E146" s="54"/>
      <c r="F146" s="54"/>
    </row>
    <row r="147" spans="1:6" ht="24.75" customHeight="1">
      <c r="A147" s="52" t="s">
        <v>68</v>
      </c>
      <c r="B147" s="52"/>
      <c r="C147" s="53"/>
      <c r="D147" s="54"/>
      <c r="E147" s="54"/>
      <c r="F147" s="54"/>
    </row>
    <row r="148" spans="1:6" ht="24.75" customHeight="1">
      <c r="A148" s="52" t="s">
        <v>268</v>
      </c>
      <c r="B148" s="52"/>
      <c r="C148" s="53"/>
      <c r="D148" s="54"/>
      <c r="E148" s="54"/>
      <c r="F148" s="54"/>
    </row>
    <row r="149" spans="1:6" ht="24.75" customHeight="1">
      <c r="A149" s="52" t="s">
        <v>1097</v>
      </c>
      <c r="B149" s="52"/>
      <c r="C149" s="53"/>
      <c r="D149" s="54"/>
      <c r="E149" s="54"/>
      <c r="F149" s="54"/>
    </row>
    <row r="150" spans="1:6" ht="24.75" customHeight="1">
      <c r="A150" s="52" t="s">
        <v>1209</v>
      </c>
      <c r="B150" s="52"/>
      <c r="C150" s="53"/>
      <c r="D150" s="54"/>
      <c r="E150" s="54"/>
      <c r="F150" s="54"/>
    </row>
    <row r="151" spans="1:6" ht="24.75" customHeight="1">
      <c r="A151" s="52" t="s">
        <v>99</v>
      </c>
      <c r="B151" s="52"/>
      <c r="C151" s="53"/>
      <c r="D151" s="54"/>
      <c r="E151" s="54"/>
      <c r="F151" s="54"/>
    </row>
    <row r="152" spans="1:7" s="302" customFormat="1" ht="24.75" customHeight="1">
      <c r="A152" s="612" t="s">
        <v>100</v>
      </c>
      <c r="B152" s="613"/>
      <c r="C152" s="612"/>
      <c r="D152" s="613"/>
      <c r="E152" s="51"/>
      <c r="F152" s="612"/>
      <c r="G152" s="51"/>
    </row>
    <row r="153" spans="1:7" s="302" customFormat="1" ht="24.75" customHeight="1">
      <c r="A153" s="52" t="s">
        <v>1098</v>
      </c>
      <c r="B153" s="613"/>
      <c r="C153" s="612"/>
      <c r="D153" s="613"/>
      <c r="E153" s="51"/>
      <c r="F153" s="612"/>
      <c r="G153" s="51"/>
    </row>
    <row r="154" spans="1:7" s="302" customFormat="1" ht="24.75" customHeight="1">
      <c r="A154" s="52" t="s">
        <v>1210</v>
      </c>
      <c r="B154" s="613"/>
      <c r="C154" s="612"/>
      <c r="D154" s="613"/>
      <c r="E154" s="51"/>
      <c r="F154" s="612"/>
      <c r="G154" s="51"/>
    </row>
    <row r="155" spans="1:7" s="302" customFormat="1" ht="24.75" customHeight="1">
      <c r="A155" s="52" t="s">
        <v>297</v>
      </c>
      <c r="B155" s="613"/>
      <c r="C155" s="612"/>
      <c r="D155" s="613"/>
      <c r="E155" s="51"/>
      <c r="F155" s="612"/>
      <c r="G155" s="51"/>
    </row>
    <row r="156" spans="1:7" s="302" customFormat="1" ht="24.75" customHeight="1">
      <c r="A156" s="612" t="s">
        <v>1212</v>
      </c>
      <c r="B156" s="613"/>
      <c r="C156" s="612"/>
      <c r="D156" s="613"/>
      <c r="E156" s="51"/>
      <c r="F156" s="612"/>
      <c r="G156" s="51"/>
    </row>
    <row r="157" spans="1:7" s="302" customFormat="1" ht="24.75" customHeight="1">
      <c r="A157" s="612" t="s">
        <v>1211</v>
      </c>
      <c r="B157" s="613"/>
      <c r="C157" s="612"/>
      <c r="D157" s="613"/>
      <c r="E157" s="51"/>
      <c r="F157" s="612"/>
      <c r="G157" s="51"/>
    </row>
    <row r="158" spans="1:7" s="302" customFormat="1" ht="24.75" customHeight="1">
      <c r="A158" s="612" t="s">
        <v>1059</v>
      </c>
      <c r="B158" s="613"/>
      <c r="C158" s="612"/>
      <c r="D158" s="613"/>
      <c r="E158" s="51"/>
      <c r="F158" s="612"/>
      <c r="G158" s="51"/>
    </row>
    <row r="159" spans="1:8" s="68" customFormat="1" ht="24.75" customHeight="1">
      <c r="A159" s="59" t="s">
        <v>443</v>
      </c>
      <c r="B159" s="60"/>
      <c r="C159" s="60"/>
      <c r="D159" s="66"/>
      <c r="E159" s="66"/>
      <c r="F159" s="67"/>
      <c r="G159" s="67"/>
      <c r="H159" s="67"/>
    </row>
    <row r="160" spans="1:8" s="68" customFormat="1" ht="24.75" customHeight="1">
      <c r="A160" s="60" t="s">
        <v>608</v>
      </c>
      <c r="B160" s="60"/>
      <c r="C160" s="60"/>
      <c r="D160" s="66"/>
      <c r="E160" s="66"/>
      <c r="F160" s="67"/>
      <c r="G160" s="67"/>
      <c r="H160" s="67"/>
    </row>
    <row r="161" spans="1:7" s="68" customFormat="1" ht="24.75" customHeight="1">
      <c r="A161" s="60"/>
      <c r="B161" s="60"/>
      <c r="C161" s="60"/>
      <c r="D161" s="66"/>
      <c r="E161" s="191"/>
      <c r="F161" s="191"/>
      <c r="G161" s="187" t="s">
        <v>592</v>
      </c>
    </row>
    <row r="162" spans="1:7" s="68" customFormat="1" ht="24.75" customHeight="1">
      <c r="A162" s="60"/>
      <c r="B162" s="60"/>
      <c r="C162" s="60"/>
      <c r="D162" s="66"/>
      <c r="E162" s="71"/>
      <c r="F162" s="435" t="s">
        <v>441</v>
      </c>
      <c r="G162" s="189"/>
    </row>
    <row r="163" spans="1:7" s="68" customFormat="1" ht="24.75" customHeight="1">
      <c r="A163" s="60"/>
      <c r="B163" s="60"/>
      <c r="C163" s="60"/>
      <c r="D163" s="66"/>
      <c r="E163" s="192"/>
      <c r="F163" s="436" t="s">
        <v>442</v>
      </c>
      <c r="G163" s="440"/>
    </row>
    <row r="164" spans="4:7" s="63" customFormat="1" ht="24.75" customHeight="1">
      <c r="D164" s="66"/>
      <c r="E164" s="75" t="s">
        <v>236</v>
      </c>
      <c r="G164" s="75" t="s">
        <v>141</v>
      </c>
    </row>
    <row r="165" spans="1:7" s="63" customFormat="1" ht="24.75" customHeight="1">
      <c r="A165" s="63" t="s">
        <v>127</v>
      </c>
      <c r="D165" s="66"/>
      <c r="E165" s="170">
        <v>857569.13</v>
      </c>
      <c r="F165" s="170"/>
      <c r="G165" s="170">
        <v>1637652.91</v>
      </c>
    </row>
    <row r="166" spans="1:7" s="63" customFormat="1" ht="24.75" customHeight="1">
      <c r="A166" s="63" t="s">
        <v>128</v>
      </c>
      <c r="D166" s="66"/>
      <c r="E166" s="170">
        <v>1779970.36</v>
      </c>
      <c r="F166" s="170"/>
      <c r="G166" s="170">
        <v>1238056.47</v>
      </c>
    </row>
    <row r="167" spans="1:7" s="63" customFormat="1" ht="24.75" customHeight="1">
      <c r="A167" s="63" t="s">
        <v>134</v>
      </c>
      <c r="D167" s="66"/>
      <c r="E167" s="170">
        <v>68736874.88</v>
      </c>
      <c r="F167" s="170"/>
      <c r="G167" s="170">
        <v>95030238.83</v>
      </c>
    </row>
    <row r="168" spans="1:7" s="63" customFormat="1" ht="24.75" customHeight="1" thickBot="1">
      <c r="A168" s="63" t="s">
        <v>342</v>
      </c>
      <c r="D168" s="66"/>
      <c r="E168" s="173">
        <f>SUM(E165:E167)</f>
        <v>71374414.36999999</v>
      </c>
      <c r="F168" s="170"/>
      <c r="G168" s="173">
        <f>SUM(G165:G167)</f>
        <v>97905948.21</v>
      </c>
    </row>
    <row r="169" spans="1:7" s="63" customFormat="1" ht="21.75" customHeight="1" thickTop="1">
      <c r="A169" s="653" t="s">
        <v>298</v>
      </c>
      <c r="B169" s="653"/>
      <c r="C169" s="653"/>
      <c r="D169" s="653"/>
      <c r="E169" s="653"/>
      <c r="F169" s="653"/>
      <c r="G169" s="653"/>
    </row>
    <row r="170" spans="4:7" s="63" customFormat="1" ht="19.5" customHeight="1">
      <c r="D170" s="66"/>
      <c r="E170" s="78"/>
      <c r="F170" s="77"/>
      <c r="G170" s="78"/>
    </row>
    <row r="171" spans="1:7" s="72" customFormat="1" ht="19.5" customHeight="1">
      <c r="A171" s="71" t="s">
        <v>142</v>
      </c>
      <c r="B171" s="68"/>
      <c r="C171" s="68"/>
      <c r="D171" s="183"/>
      <c r="E171" s="79"/>
      <c r="F171" s="79"/>
      <c r="G171" s="80"/>
    </row>
    <row r="172" spans="1:7" s="72" customFormat="1" ht="19.5" customHeight="1">
      <c r="A172" s="63" t="s">
        <v>237</v>
      </c>
      <c r="B172" s="63"/>
      <c r="C172" s="63"/>
      <c r="D172" s="184"/>
      <c r="E172" s="76"/>
      <c r="F172" s="76"/>
      <c r="G172" s="76"/>
    </row>
    <row r="173" spans="1:7" s="68" customFormat="1" ht="19.5" customHeight="1">
      <c r="A173" s="60"/>
      <c r="B173" s="60"/>
      <c r="C173" s="60"/>
      <c r="D173" s="184"/>
      <c r="E173" s="81"/>
      <c r="F173" s="81"/>
      <c r="G173" s="185" t="s">
        <v>592</v>
      </c>
    </row>
    <row r="174" spans="1:7" s="68" customFormat="1" ht="19.5" customHeight="1">
      <c r="A174" s="60"/>
      <c r="B174" s="60"/>
      <c r="C174" s="60"/>
      <c r="D174" s="184"/>
      <c r="E174" s="79"/>
      <c r="F174" s="438" t="s">
        <v>441</v>
      </c>
      <c r="G174" s="82"/>
    </row>
    <row r="175" spans="1:7" s="68" customFormat="1" ht="19.5" customHeight="1">
      <c r="A175" s="60"/>
      <c r="B175" s="60"/>
      <c r="C175" s="60"/>
      <c r="D175" s="184"/>
      <c r="E175" s="83"/>
      <c r="F175" s="439" t="s">
        <v>442</v>
      </c>
      <c r="G175" s="84"/>
    </row>
    <row r="176" spans="4:7" s="63" customFormat="1" ht="19.5" customHeight="1">
      <c r="D176" s="184"/>
      <c r="E176" s="75" t="s">
        <v>236</v>
      </c>
      <c r="G176" s="75" t="s">
        <v>141</v>
      </c>
    </row>
    <row r="177" spans="1:7" s="72" customFormat="1" ht="19.5" customHeight="1">
      <c r="A177" s="63" t="s">
        <v>343</v>
      </c>
      <c r="B177" s="63"/>
      <c r="C177" s="63"/>
      <c r="D177" s="183"/>
      <c r="E177" s="290">
        <v>118399668.96</v>
      </c>
      <c r="F177" s="290"/>
      <c r="G177" s="290">
        <v>98582886.08</v>
      </c>
    </row>
    <row r="178" spans="1:7" s="72" customFormat="1" ht="19.5" customHeight="1">
      <c r="A178" s="63" t="s">
        <v>344</v>
      </c>
      <c r="B178" s="63"/>
      <c r="C178" s="63"/>
      <c r="D178" s="183"/>
      <c r="E178" s="290">
        <v>28297581.52</v>
      </c>
      <c r="F178" s="290"/>
      <c r="G178" s="290">
        <v>19211138.9</v>
      </c>
    </row>
    <row r="179" spans="1:7" s="72" customFormat="1" ht="19.5" customHeight="1">
      <c r="A179" s="63" t="s">
        <v>345</v>
      </c>
      <c r="B179" s="63"/>
      <c r="C179" s="63"/>
      <c r="D179" s="183"/>
      <c r="E179" s="290">
        <v>13928082.97</v>
      </c>
      <c r="F179" s="290"/>
      <c r="G179" s="290">
        <v>11506021.87</v>
      </c>
    </row>
    <row r="180" spans="1:7" s="72" customFormat="1" ht="19.5" customHeight="1">
      <c r="A180" s="63" t="s">
        <v>346</v>
      </c>
      <c r="B180" s="63"/>
      <c r="C180" s="63"/>
      <c r="D180" s="183"/>
      <c r="E180" s="290">
        <v>6959019.77</v>
      </c>
      <c r="F180" s="290"/>
      <c r="G180" s="290">
        <f>3587715.52-2000000</f>
        <v>1587715.52</v>
      </c>
    </row>
    <row r="181" spans="1:7" s="72" customFormat="1" ht="19.5" customHeight="1">
      <c r="A181" s="63" t="s">
        <v>347</v>
      </c>
      <c r="B181" s="63"/>
      <c r="C181" s="63"/>
      <c r="D181" s="183"/>
      <c r="E181" s="614">
        <v>9688.11</v>
      </c>
      <c r="F181" s="290"/>
      <c r="G181" s="614">
        <v>9688.11</v>
      </c>
    </row>
    <row r="182" spans="1:7" s="72" customFormat="1" ht="19.5" customHeight="1">
      <c r="A182" s="63" t="s">
        <v>342</v>
      </c>
      <c r="B182" s="63"/>
      <c r="C182" s="63"/>
      <c r="D182" s="183"/>
      <c r="E182" s="290">
        <f>SUM(E177:E181)</f>
        <v>167594041.33</v>
      </c>
      <c r="F182" s="290"/>
      <c r="G182" s="290">
        <f>SUM(G177:G181)</f>
        <v>130897450.47999999</v>
      </c>
    </row>
    <row r="183" spans="1:7" s="72" customFormat="1" ht="19.5" customHeight="1">
      <c r="A183" s="63" t="s">
        <v>143</v>
      </c>
      <c r="B183" s="63"/>
      <c r="C183" s="63"/>
      <c r="D183" s="183"/>
      <c r="E183" s="647">
        <v>-41019155.52</v>
      </c>
      <c r="F183" s="290"/>
      <c r="G183" s="647">
        <v>-7350414.57</v>
      </c>
    </row>
    <row r="184" spans="1:7" s="72" customFormat="1" ht="19.5" customHeight="1" thickBot="1">
      <c r="A184" s="63" t="s">
        <v>348</v>
      </c>
      <c r="B184" s="63"/>
      <c r="C184" s="63"/>
      <c r="D184" s="183"/>
      <c r="E184" s="615">
        <f>SUM(E182:E183)</f>
        <v>126574885.81</v>
      </c>
      <c r="F184" s="290"/>
      <c r="G184" s="616">
        <f>SUM(G182:G183)</f>
        <v>123547035.91</v>
      </c>
    </row>
    <row r="185" spans="1:8" s="72" customFormat="1" ht="19.5" customHeight="1" thickTop="1">
      <c r="A185" s="73" t="s">
        <v>144</v>
      </c>
      <c r="B185" s="63"/>
      <c r="C185" s="63"/>
      <c r="D185" s="184"/>
      <c r="E185" s="184"/>
      <c r="F185" s="67"/>
      <c r="G185" s="67"/>
      <c r="H185" s="186"/>
    </row>
    <row r="186" spans="1:8" s="72" customFormat="1" ht="19.5" customHeight="1">
      <c r="A186" s="63" t="s">
        <v>238</v>
      </c>
      <c r="B186" s="63"/>
      <c r="C186" s="63"/>
      <c r="D186" s="184"/>
      <c r="E186" s="184"/>
      <c r="F186" s="67"/>
      <c r="G186" s="67"/>
      <c r="H186" s="67"/>
    </row>
    <row r="187" spans="1:7" s="68" customFormat="1" ht="19.5" customHeight="1">
      <c r="A187" s="60"/>
      <c r="B187" s="60"/>
      <c r="C187" s="60"/>
      <c r="D187" s="184"/>
      <c r="E187" s="67"/>
      <c r="F187" s="67"/>
      <c r="G187" s="187" t="s">
        <v>592</v>
      </c>
    </row>
    <row r="188" spans="1:7" s="68" customFormat="1" ht="19.5" customHeight="1">
      <c r="A188" s="60"/>
      <c r="B188" s="60"/>
      <c r="C188" s="60"/>
      <c r="D188" s="184"/>
      <c r="E188" s="69"/>
      <c r="F188" s="435" t="s">
        <v>441</v>
      </c>
      <c r="G188" s="69"/>
    </row>
    <row r="189" spans="1:7" s="68" customFormat="1" ht="19.5" customHeight="1">
      <c r="A189" s="60"/>
      <c r="B189" s="60"/>
      <c r="C189" s="60"/>
      <c r="D189" s="184"/>
      <c r="E189" s="70"/>
      <c r="F189" s="436" t="s">
        <v>442</v>
      </c>
      <c r="G189" s="70"/>
    </row>
    <row r="190" spans="4:7" s="63" customFormat="1" ht="19.5" customHeight="1">
      <c r="D190" s="184"/>
      <c r="E190" s="75" t="s">
        <v>236</v>
      </c>
      <c r="G190" s="75" t="s">
        <v>141</v>
      </c>
    </row>
    <row r="191" spans="1:7" s="72" customFormat="1" ht="19.5" customHeight="1">
      <c r="A191" s="63" t="s">
        <v>343</v>
      </c>
      <c r="B191" s="63"/>
      <c r="C191" s="63"/>
      <c r="D191" s="183"/>
      <c r="E191" s="53">
        <v>24750919.39</v>
      </c>
      <c r="F191" s="53"/>
      <c r="G191" s="53">
        <v>19295953.36</v>
      </c>
    </row>
    <row r="192" spans="1:7" s="72" customFormat="1" ht="19.5" customHeight="1">
      <c r="A192" s="63" t="s">
        <v>344</v>
      </c>
      <c r="B192" s="63"/>
      <c r="C192" s="63"/>
      <c r="D192" s="183"/>
      <c r="E192" s="53">
        <v>986281.74</v>
      </c>
      <c r="F192" s="53"/>
      <c r="G192" s="53">
        <v>1383075.68</v>
      </c>
    </row>
    <row r="193" spans="1:7" s="72" customFormat="1" ht="19.5" customHeight="1">
      <c r="A193" s="63" t="s">
        <v>345</v>
      </c>
      <c r="B193" s="63"/>
      <c r="C193" s="63"/>
      <c r="D193" s="183"/>
      <c r="E193" s="53">
        <v>32088.53</v>
      </c>
      <c r="F193" s="53"/>
      <c r="G193" s="53">
        <v>20248.21</v>
      </c>
    </row>
    <row r="194" spans="1:7" s="72" customFormat="1" ht="19.5" customHeight="1">
      <c r="A194" s="63" t="s">
        <v>346</v>
      </c>
      <c r="B194" s="63"/>
      <c r="C194" s="63"/>
      <c r="D194" s="183"/>
      <c r="E194" s="53">
        <v>21071.69</v>
      </c>
      <c r="F194" s="53"/>
      <c r="G194" s="53">
        <v>496.87</v>
      </c>
    </row>
    <row r="195" spans="1:7" s="72" customFormat="1" ht="19.5" customHeight="1" thickBot="1">
      <c r="A195" s="63" t="s">
        <v>145</v>
      </c>
      <c r="B195" s="63"/>
      <c r="C195" s="63"/>
      <c r="D195" s="183"/>
      <c r="E195" s="617">
        <f>SUM(E191:E194)</f>
        <v>25790361.35</v>
      </c>
      <c r="F195" s="618"/>
      <c r="G195" s="617">
        <f>SUM(G191:G194)</f>
        <v>20699774.12</v>
      </c>
    </row>
    <row r="196" spans="1:9" s="619" customFormat="1" ht="19.5" customHeight="1" thickTop="1">
      <c r="A196" s="608" t="s">
        <v>444</v>
      </c>
      <c r="B196" s="52"/>
      <c r="C196" s="454"/>
      <c r="D196" s="54"/>
      <c r="E196" s="54"/>
      <c r="F196" s="54"/>
      <c r="G196" s="52"/>
      <c r="H196" s="54"/>
      <c r="I196" s="52"/>
    </row>
    <row r="197" spans="1:9" s="619" customFormat="1" ht="19.5" customHeight="1">
      <c r="A197" s="52" t="s">
        <v>239</v>
      </c>
      <c r="B197" s="52"/>
      <c r="C197" s="454"/>
      <c r="D197" s="54"/>
      <c r="E197" s="54"/>
      <c r="F197" s="54"/>
      <c r="G197" s="52"/>
      <c r="H197" s="54"/>
      <c r="I197" s="52"/>
    </row>
    <row r="198" spans="1:9" s="619" customFormat="1" ht="19.5" customHeight="1">
      <c r="A198" s="52"/>
      <c r="B198" s="52"/>
      <c r="C198" s="454"/>
      <c r="D198" s="54"/>
      <c r="E198" s="191"/>
      <c r="F198" s="191"/>
      <c r="G198" s="187" t="s">
        <v>592</v>
      </c>
      <c r="H198" s="54"/>
      <c r="I198" s="52"/>
    </row>
    <row r="199" spans="1:9" s="619" customFormat="1" ht="19.5" customHeight="1">
      <c r="A199" s="52"/>
      <c r="B199" s="52"/>
      <c r="C199" s="454"/>
      <c r="D199" s="54"/>
      <c r="E199" s="189"/>
      <c r="F199" s="435" t="s">
        <v>441</v>
      </c>
      <c r="G199" s="189"/>
      <c r="H199" s="54"/>
      <c r="I199" s="52"/>
    </row>
    <row r="200" spans="1:9" s="619" customFormat="1" ht="19.5" customHeight="1">
      <c r="A200" s="290"/>
      <c r="B200" s="620"/>
      <c r="C200" s="485"/>
      <c r="E200" s="192"/>
      <c r="F200" s="436" t="s">
        <v>442</v>
      </c>
      <c r="G200" s="192"/>
      <c r="H200" s="621"/>
      <c r="I200" s="622"/>
    </row>
    <row r="201" spans="2:9" s="619" customFormat="1" ht="19.5" customHeight="1">
      <c r="B201" s="623"/>
      <c r="C201" s="455"/>
      <c r="D201" s="624" t="s">
        <v>349</v>
      </c>
      <c r="E201" s="75" t="s">
        <v>236</v>
      </c>
      <c r="F201" s="63"/>
      <c r="G201" s="75" t="s">
        <v>141</v>
      </c>
      <c r="H201" s="455"/>
      <c r="I201" s="455"/>
    </row>
    <row r="202" spans="1:9" s="619" customFormat="1" ht="19.5" customHeight="1">
      <c r="A202" s="608" t="s">
        <v>146</v>
      </c>
      <c r="B202" s="623"/>
      <c r="C202" s="455"/>
      <c r="E202" s="75"/>
      <c r="F202" s="63"/>
      <c r="G202" s="75"/>
      <c r="H202" s="455"/>
      <c r="I202" s="455"/>
    </row>
    <row r="203" spans="1:9" s="619" customFormat="1" ht="19.5" customHeight="1">
      <c r="A203" s="625" t="s">
        <v>1070</v>
      </c>
      <c r="B203" s="623"/>
      <c r="C203" s="455"/>
      <c r="D203" s="51" t="s">
        <v>1071</v>
      </c>
      <c r="E203" s="626">
        <v>5000000</v>
      </c>
      <c r="F203" s="455"/>
      <c r="G203" s="626">
        <v>5000000</v>
      </c>
      <c r="I203" s="455"/>
    </row>
    <row r="204" spans="1:9" s="619" customFormat="1" ht="19.5" customHeight="1" thickBot="1">
      <c r="A204" s="290" t="s">
        <v>342</v>
      </c>
      <c r="B204" s="623"/>
      <c r="C204" s="455"/>
      <c r="D204" s="51"/>
      <c r="E204" s="616">
        <f>SUM(E203)</f>
        <v>5000000</v>
      </c>
      <c r="F204" s="455"/>
      <c r="G204" s="616">
        <f>SUM(G203)</f>
        <v>5000000</v>
      </c>
      <c r="I204" s="455"/>
    </row>
    <row r="205" spans="1:9" s="619" customFormat="1" ht="19.5" customHeight="1" thickTop="1">
      <c r="A205" s="625" t="s">
        <v>240</v>
      </c>
      <c r="B205" s="623"/>
      <c r="C205" s="455"/>
      <c r="D205" s="627"/>
      <c r="E205" s="455"/>
      <c r="F205" s="455"/>
      <c r="G205" s="455"/>
      <c r="H205" s="455"/>
      <c r="I205" s="455"/>
    </row>
    <row r="206" spans="1:9" s="619" customFormat="1" ht="19.5" customHeight="1">
      <c r="A206" s="625" t="s">
        <v>827</v>
      </c>
      <c r="B206" s="623"/>
      <c r="C206" s="455"/>
      <c r="D206" s="627"/>
      <c r="E206" s="455"/>
      <c r="F206" s="455"/>
      <c r="G206" s="455"/>
      <c r="H206" s="455"/>
      <c r="I206" s="455"/>
    </row>
    <row r="207" spans="1:9" s="619" customFormat="1" ht="19.5" customHeight="1">
      <c r="A207" s="52" t="s">
        <v>1072</v>
      </c>
      <c r="B207" s="455"/>
      <c r="D207" s="455"/>
      <c r="E207" s="627"/>
      <c r="F207" s="455"/>
      <c r="G207" s="455"/>
      <c r="H207" s="455"/>
      <c r="I207" s="455"/>
    </row>
    <row r="208" spans="1:9" s="619" customFormat="1" ht="19.5" customHeight="1">
      <c r="A208" s="52" t="s">
        <v>1073</v>
      </c>
      <c r="B208" s="455"/>
      <c r="D208" s="455"/>
      <c r="E208" s="627"/>
      <c r="F208" s="455"/>
      <c r="G208" s="455"/>
      <c r="H208" s="455"/>
      <c r="I208" s="455"/>
    </row>
    <row r="209" spans="1:9" s="619" customFormat="1" ht="19.5" customHeight="1">
      <c r="A209" s="52" t="s">
        <v>1074</v>
      </c>
      <c r="B209" s="455"/>
      <c r="D209" s="455"/>
      <c r="E209" s="627"/>
      <c r="F209" s="455"/>
      <c r="G209" s="455"/>
      <c r="H209" s="455"/>
      <c r="I209" s="455"/>
    </row>
    <row r="210" spans="1:9" s="619" customFormat="1" ht="19.5" customHeight="1">
      <c r="A210" s="52" t="s">
        <v>1075</v>
      </c>
      <c r="B210" s="455"/>
      <c r="D210" s="455"/>
      <c r="E210" s="627"/>
      <c r="F210" s="455"/>
      <c r="G210" s="455"/>
      <c r="H210" s="455"/>
      <c r="I210" s="455"/>
    </row>
    <row r="211" spans="1:9" s="619" customFormat="1" ht="19.5" customHeight="1">
      <c r="A211" s="52" t="s">
        <v>1076</v>
      </c>
      <c r="B211" s="455"/>
      <c r="D211" s="455"/>
      <c r="E211" s="627"/>
      <c r="F211" s="455"/>
      <c r="G211" s="455"/>
      <c r="H211" s="455"/>
      <c r="I211" s="455"/>
    </row>
    <row r="212" spans="1:9" s="619" customFormat="1" ht="19.5" customHeight="1">
      <c r="A212" s="52" t="s">
        <v>1077</v>
      </c>
      <c r="B212" s="455"/>
      <c r="D212" s="455"/>
      <c r="E212" s="627"/>
      <c r="F212" s="455"/>
      <c r="G212" s="455"/>
      <c r="H212" s="455"/>
      <c r="I212" s="455"/>
    </row>
    <row r="213" ht="19.5" customHeight="1">
      <c r="A213" s="457" t="s">
        <v>73</v>
      </c>
    </row>
    <row r="214" ht="19.5" customHeight="1"/>
  </sheetData>
  <sheetProtection/>
  <mergeCells count="9">
    <mergeCell ref="A134:G134"/>
    <mergeCell ref="A169:G169"/>
    <mergeCell ref="A1:G1"/>
    <mergeCell ref="A2:G2"/>
    <mergeCell ref="A3:G3"/>
    <mergeCell ref="A34:G34"/>
    <mergeCell ref="A62:G62"/>
    <mergeCell ref="A99:G99"/>
    <mergeCell ref="A52:E52"/>
  </mergeCells>
  <printOptions/>
  <pageMargins left="0.49" right="0.26" top="0.44" bottom="0.36" header="0.26" footer="0.18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04"/>
  <sheetViews>
    <sheetView zoomScaleSheetLayoutView="100" zoomScalePageLayoutView="0" workbookViewId="0" topLeftCell="A100">
      <selection activeCell="A137" sqref="A137"/>
    </sheetView>
  </sheetViews>
  <sheetFormatPr defaultColWidth="9.140625" defaultRowHeight="24.75" customHeight="1"/>
  <cols>
    <col min="1" max="1" width="4.7109375" style="155" customWidth="1"/>
    <col min="2" max="2" width="23.28125" style="155" customWidth="1"/>
    <col min="3" max="3" width="4.57421875" style="155" customWidth="1"/>
    <col min="4" max="4" width="18.00390625" style="155" customWidth="1"/>
    <col min="5" max="5" width="2.140625" style="155" customWidth="1"/>
    <col min="6" max="6" width="16.28125" style="155" customWidth="1"/>
    <col min="7" max="7" width="2.140625" style="155" customWidth="1"/>
    <col min="8" max="8" width="17.421875" style="155" customWidth="1"/>
    <col min="9" max="9" width="2.140625" style="155" customWidth="1"/>
    <col min="10" max="10" width="16.7109375" style="155" customWidth="1"/>
    <col min="11" max="11" width="5.7109375" style="155" customWidth="1"/>
    <col min="12" max="16384" width="9.140625" style="155" customWidth="1"/>
  </cols>
  <sheetData>
    <row r="1" spans="1:10" ht="24.75" customHeight="1">
      <c r="A1" s="154" t="s">
        <v>88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0" ht="24.75" customHeight="1">
      <c r="A2" s="156"/>
      <c r="B2" s="156"/>
      <c r="C2" s="156"/>
      <c r="D2" s="156"/>
      <c r="E2" s="156"/>
      <c r="F2" s="156"/>
      <c r="G2" s="156"/>
      <c r="H2" s="156"/>
      <c r="I2" s="156"/>
      <c r="J2" s="156"/>
    </row>
    <row r="3" s="468" customFormat="1" ht="24.75" customHeight="1">
      <c r="A3" s="122" t="s">
        <v>1115</v>
      </c>
    </row>
    <row r="4" spans="1:2" s="468" customFormat="1" ht="24.75" customHeight="1">
      <c r="A4" s="142" t="s">
        <v>1113</v>
      </c>
      <c r="B4" s="19"/>
    </row>
    <row r="5" spans="1:2" s="468" customFormat="1" ht="24.75" customHeight="1">
      <c r="A5" s="19" t="s">
        <v>1114</v>
      </c>
      <c r="B5" s="19"/>
    </row>
    <row r="6" spans="1:10" s="19" customFormat="1" ht="24.75" customHeight="1">
      <c r="A6" s="469" t="s">
        <v>1122</v>
      </c>
      <c r="B6" s="470"/>
      <c r="C6" s="340"/>
      <c r="D6" s="340"/>
      <c r="E6" s="340"/>
      <c r="F6" s="340"/>
      <c r="G6" s="340"/>
      <c r="H6" s="340"/>
      <c r="I6" s="340"/>
      <c r="J6" s="340"/>
    </row>
    <row r="7" spans="1:10" s="19" customFormat="1" ht="24.75" customHeight="1">
      <c r="A7" s="470"/>
      <c r="B7" s="470" t="s">
        <v>1116</v>
      </c>
      <c r="C7" s="340"/>
      <c r="D7" s="340"/>
      <c r="E7" s="340"/>
      <c r="F7" s="340"/>
      <c r="G7" s="340"/>
      <c r="H7" s="340"/>
      <c r="I7" s="340"/>
      <c r="J7" s="340"/>
    </row>
    <row r="8" spans="1:10" s="19" customFormat="1" ht="24.75" customHeight="1">
      <c r="A8" s="340"/>
      <c r="B8" s="470"/>
      <c r="C8" s="470"/>
      <c r="D8" s="470"/>
      <c r="E8" s="470"/>
      <c r="F8" s="472"/>
      <c r="G8" s="470"/>
      <c r="H8" s="471"/>
      <c r="J8" s="472" t="s">
        <v>81</v>
      </c>
    </row>
    <row r="9" spans="4:10" s="14" customFormat="1" ht="24.75" customHeight="1">
      <c r="D9" s="645" t="s">
        <v>862</v>
      </c>
      <c r="E9" s="645"/>
      <c r="F9" s="645"/>
      <c r="G9" s="571"/>
      <c r="H9" s="629" t="s">
        <v>863</v>
      </c>
      <c r="I9" s="629"/>
      <c r="J9" s="629"/>
    </row>
    <row r="10" spans="4:10" s="14" customFormat="1" ht="24.75" customHeight="1">
      <c r="D10" s="646" t="s">
        <v>69</v>
      </c>
      <c r="E10" s="646"/>
      <c r="F10" s="646"/>
      <c r="G10" s="571"/>
      <c r="H10" s="630" t="s">
        <v>234</v>
      </c>
      <c r="I10" s="630"/>
      <c r="J10" s="630"/>
    </row>
    <row r="11" spans="1:10" s="19" customFormat="1" ht="24.75" customHeight="1">
      <c r="A11" s="340"/>
      <c r="B11" s="470"/>
      <c r="C11" s="470"/>
      <c r="D11" s="473" t="s">
        <v>1123</v>
      </c>
      <c r="E11" s="474"/>
      <c r="F11" s="473" t="s">
        <v>1124</v>
      </c>
      <c r="G11" s="128"/>
      <c r="H11" s="572" t="s">
        <v>1123</v>
      </c>
      <c r="I11" s="573"/>
      <c r="J11" s="572" t="s">
        <v>1124</v>
      </c>
    </row>
    <row r="12" spans="1:10" s="19" customFormat="1" ht="24.75" customHeight="1">
      <c r="A12" s="340"/>
      <c r="B12" s="60" t="s">
        <v>293</v>
      </c>
      <c r="C12" s="470"/>
      <c r="D12" s="470"/>
      <c r="E12" s="470"/>
      <c r="F12" s="471"/>
      <c r="G12" s="475"/>
      <c r="H12" s="575"/>
      <c r="I12" s="574"/>
      <c r="J12" s="340"/>
    </row>
    <row r="13" spans="1:10" s="19" customFormat="1" ht="24.75" customHeight="1">
      <c r="A13" s="340"/>
      <c r="B13" s="470" t="s">
        <v>1117</v>
      </c>
      <c r="D13" s="476">
        <v>944554979.17</v>
      </c>
      <c r="E13" s="470"/>
      <c r="F13" s="476">
        <v>913843903.85</v>
      </c>
      <c r="H13" s="479">
        <v>944554979.17</v>
      </c>
      <c r="I13" s="477"/>
      <c r="J13" s="479">
        <v>913843903.85</v>
      </c>
    </row>
    <row r="14" spans="1:10" s="19" customFormat="1" ht="24.75" customHeight="1">
      <c r="A14" s="340"/>
      <c r="B14" s="477" t="s">
        <v>1118</v>
      </c>
      <c r="C14" s="63"/>
      <c r="D14" s="476">
        <v>319605249.36</v>
      </c>
      <c r="E14" s="470"/>
      <c r="F14" s="476">
        <v>386787175.41</v>
      </c>
      <c r="H14" s="479">
        <v>319605249.36</v>
      </c>
      <c r="I14" s="477"/>
      <c r="J14" s="479">
        <v>386787175.41</v>
      </c>
    </row>
    <row r="15" spans="1:10" s="19" customFormat="1" ht="24.75" customHeight="1">
      <c r="A15" s="340"/>
      <c r="B15" s="60" t="s">
        <v>552</v>
      </c>
      <c r="C15" s="470"/>
      <c r="D15" s="478"/>
      <c r="E15" s="470"/>
      <c r="F15" s="478"/>
      <c r="H15" s="576"/>
      <c r="I15" s="577"/>
      <c r="J15" s="576"/>
    </row>
    <row r="16" spans="1:10" s="19" customFormat="1" ht="24.75" customHeight="1">
      <c r="A16" s="340"/>
      <c r="B16" s="60" t="s">
        <v>566</v>
      </c>
      <c r="C16" s="470"/>
      <c r="D16" s="476">
        <v>57278528.1</v>
      </c>
      <c r="E16" s="477"/>
      <c r="F16" s="479">
        <v>59845311.62</v>
      </c>
      <c r="G16" s="63"/>
      <c r="H16" s="479">
        <v>57278528.1</v>
      </c>
      <c r="I16" s="477"/>
      <c r="J16" s="479">
        <v>59845311.62</v>
      </c>
    </row>
    <row r="17" spans="1:10" s="19" customFormat="1" ht="24.75" customHeight="1">
      <c r="A17" s="340"/>
      <c r="B17" s="302" t="s">
        <v>567</v>
      </c>
      <c r="C17" s="470"/>
      <c r="D17" s="19">
        <v>30475690.4</v>
      </c>
      <c r="E17" s="470"/>
      <c r="F17" s="476">
        <v>27233688.55</v>
      </c>
      <c r="H17" s="479">
        <v>30475690.4</v>
      </c>
      <c r="I17" s="477"/>
      <c r="J17" s="479">
        <v>27233688.55</v>
      </c>
    </row>
    <row r="18" spans="1:10" s="19" customFormat="1" ht="24.75" customHeight="1">
      <c r="A18" s="340"/>
      <c r="B18" s="60" t="s">
        <v>568</v>
      </c>
      <c r="C18" s="470"/>
      <c r="D18" s="479">
        <v>56712071.64</v>
      </c>
      <c r="E18" s="470"/>
      <c r="F18" s="479">
        <v>50969609.45</v>
      </c>
      <c r="H18" s="479">
        <v>56712071.64</v>
      </c>
      <c r="I18" s="477"/>
      <c r="J18" s="479">
        <v>50969609.45</v>
      </c>
    </row>
    <row r="19" spans="1:10" s="19" customFormat="1" ht="24.75" customHeight="1">
      <c r="A19" s="340"/>
      <c r="B19" s="60" t="s">
        <v>569</v>
      </c>
      <c r="C19" s="470"/>
      <c r="D19" s="479"/>
      <c r="E19" s="470"/>
      <c r="F19" s="479"/>
      <c r="H19" s="479"/>
      <c r="I19" s="477"/>
      <c r="J19" s="479"/>
    </row>
    <row r="20" spans="1:10" s="19" customFormat="1" ht="24.75" customHeight="1">
      <c r="A20" s="340"/>
      <c r="B20" s="470" t="s">
        <v>1119</v>
      </c>
      <c r="D20" s="19">
        <v>77036774.61</v>
      </c>
      <c r="F20" s="19">
        <v>76169692.32</v>
      </c>
      <c r="H20" s="63">
        <v>77036774.61</v>
      </c>
      <c r="I20" s="63"/>
      <c r="J20" s="63">
        <v>76169692.32</v>
      </c>
    </row>
    <row r="21" spans="1:10" s="19" customFormat="1" ht="24.75" customHeight="1">
      <c r="A21" s="340"/>
      <c r="B21" s="470" t="s">
        <v>1120</v>
      </c>
      <c r="D21" s="19">
        <v>62314451.56</v>
      </c>
      <c r="F21" s="19">
        <v>61777898.82</v>
      </c>
      <c r="H21" s="63">
        <v>62314451.56</v>
      </c>
      <c r="I21" s="63"/>
      <c r="J21" s="63">
        <v>61777898.82</v>
      </c>
    </row>
    <row r="22" spans="1:10" s="19" customFormat="1" ht="24.75" customHeight="1">
      <c r="A22" s="340"/>
      <c r="B22" s="480" t="s">
        <v>1121</v>
      </c>
      <c r="D22" s="19">
        <v>29877829.26</v>
      </c>
      <c r="F22" s="19">
        <v>34056691.77</v>
      </c>
      <c r="H22" s="63">
        <v>29877829.26</v>
      </c>
      <c r="I22" s="63"/>
      <c r="J22" s="63">
        <v>34056691.77</v>
      </c>
    </row>
    <row r="23" spans="1:10" s="19" customFormat="1" ht="24.75" customHeight="1">
      <c r="A23" s="122" t="s">
        <v>1127</v>
      </c>
      <c r="B23" s="468"/>
      <c r="C23" s="468"/>
      <c r="D23" s="468"/>
      <c r="E23" s="468"/>
      <c r="F23" s="468"/>
      <c r="G23" s="468"/>
      <c r="H23" s="468"/>
      <c r="I23" s="468"/>
      <c r="J23" s="468"/>
    </row>
    <row r="24" spans="1:10" s="19" customFormat="1" ht="24.75" customHeight="1">
      <c r="A24" s="142" t="s">
        <v>1125</v>
      </c>
      <c r="C24" s="468"/>
      <c r="D24" s="468"/>
      <c r="E24" s="468"/>
      <c r="F24" s="468"/>
      <c r="G24" s="468"/>
      <c r="H24" s="468"/>
      <c r="I24" s="468"/>
      <c r="J24" s="468"/>
    </row>
    <row r="25" spans="1:10" s="19" customFormat="1" ht="24.75" customHeight="1">
      <c r="A25" s="19" t="s">
        <v>1126</v>
      </c>
      <c r="C25" s="468"/>
      <c r="D25" s="468"/>
      <c r="E25" s="468"/>
      <c r="F25" s="468"/>
      <c r="G25" s="468"/>
      <c r="H25" s="468"/>
      <c r="I25" s="468"/>
      <c r="J25" s="468"/>
    </row>
    <row r="26" s="468" customFormat="1" ht="24.75" customHeight="1">
      <c r="A26" s="122" t="s">
        <v>1166</v>
      </c>
    </row>
    <row r="27" spans="1:2" s="468" customFormat="1" ht="24.75" customHeight="1">
      <c r="A27" s="142" t="s">
        <v>1128</v>
      </c>
      <c r="B27" s="19"/>
    </row>
    <row r="28" spans="1:2" s="468" customFormat="1" ht="24.75" customHeight="1">
      <c r="A28" s="19" t="s">
        <v>1161</v>
      </c>
      <c r="B28" s="19"/>
    </row>
    <row r="29" spans="1:2" s="158" customFormat="1" ht="24.75" customHeight="1">
      <c r="A29" s="60" t="s">
        <v>1162</v>
      </c>
      <c r="B29" s="63"/>
    </row>
    <row r="30" spans="1:2" s="158" customFormat="1" ht="24.75" customHeight="1">
      <c r="A30" s="63" t="s">
        <v>1163</v>
      </c>
      <c r="B30" s="63"/>
    </row>
    <row r="31" spans="1:2" s="158" customFormat="1" ht="24.75" customHeight="1">
      <c r="A31" s="63" t="s">
        <v>1164</v>
      </c>
      <c r="B31" s="63"/>
    </row>
    <row r="32" spans="1:2" s="158" customFormat="1" ht="24.75" customHeight="1">
      <c r="A32" s="63" t="s">
        <v>1165</v>
      </c>
      <c r="B32" s="63"/>
    </row>
    <row r="33" spans="1:8" s="590" customFormat="1" ht="24.75" customHeight="1">
      <c r="A33" s="587" t="s">
        <v>1159</v>
      </c>
      <c r="B33" s="588"/>
      <c r="C33" s="588"/>
      <c r="D33" s="588"/>
      <c r="E33" s="588"/>
      <c r="F33" s="588"/>
      <c r="G33" s="588"/>
      <c r="H33" s="589"/>
    </row>
    <row r="34" spans="1:8" s="591" customFormat="1" ht="24.75" customHeight="1">
      <c r="A34" s="588"/>
      <c r="B34" s="588" t="s">
        <v>1160</v>
      </c>
      <c r="D34" s="592"/>
      <c r="E34" s="592"/>
      <c r="F34" s="592"/>
      <c r="G34" s="592"/>
      <c r="H34" s="592"/>
    </row>
    <row r="35" spans="1:8" s="591" customFormat="1" ht="24.75" customHeight="1">
      <c r="A35" s="588" t="s">
        <v>497</v>
      </c>
      <c r="B35" s="592"/>
      <c r="C35" s="592"/>
      <c r="D35" s="592"/>
      <c r="E35" s="592"/>
      <c r="F35" s="592"/>
      <c r="G35" s="592"/>
      <c r="H35" s="592"/>
    </row>
    <row r="36" spans="1:10" s="63" customFormat="1" ht="24.75" customHeight="1">
      <c r="A36" s="340" t="s">
        <v>467</v>
      </c>
      <c r="B36" s="477"/>
      <c r="D36" s="479"/>
      <c r="E36" s="477"/>
      <c r="F36" s="479"/>
      <c r="H36" s="479"/>
      <c r="I36" s="477"/>
      <c r="J36" s="479"/>
    </row>
    <row r="37" spans="1:10" s="63" customFormat="1" ht="24.75" customHeight="1">
      <c r="A37" s="340"/>
      <c r="B37" s="477"/>
      <c r="D37" s="479"/>
      <c r="E37" s="477"/>
      <c r="F37" s="479"/>
      <c r="H37" s="479"/>
      <c r="I37" s="477"/>
      <c r="J37" s="479"/>
    </row>
    <row r="38" spans="1:10" ht="25.5" customHeight="1">
      <c r="A38" s="154" t="s">
        <v>89</v>
      </c>
      <c r="B38" s="154"/>
      <c r="C38" s="154"/>
      <c r="D38" s="154"/>
      <c r="E38" s="154"/>
      <c r="F38" s="154"/>
      <c r="G38" s="154"/>
      <c r="H38" s="154"/>
      <c r="I38" s="154"/>
      <c r="J38" s="154"/>
    </row>
    <row r="39" s="158" customFormat="1" ht="25.5" customHeight="1"/>
    <row r="40" s="158" customFormat="1" ht="25.5" customHeight="1">
      <c r="A40" s="157" t="s">
        <v>570</v>
      </c>
    </row>
    <row r="41" s="158" customFormat="1" ht="25.5" customHeight="1">
      <c r="A41" s="158" t="s">
        <v>571</v>
      </c>
    </row>
    <row r="42" s="158" customFormat="1" ht="25.5" customHeight="1">
      <c r="A42" s="158" t="s">
        <v>1167</v>
      </c>
    </row>
    <row r="43" s="158" customFormat="1" ht="25.5" customHeight="1">
      <c r="A43" s="158" t="s">
        <v>572</v>
      </c>
    </row>
    <row r="44" s="158" customFormat="1" ht="25.5" customHeight="1">
      <c r="A44" s="158" t="s">
        <v>1175</v>
      </c>
    </row>
    <row r="45" s="158" customFormat="1" ht="25.5" customHeight="1">
      <c r="A45" s="158" t="s">
        <v>1174</v>
      </c>
    </row>
    <row r="46" s="158" customFormat="1" ht="25.5" customHeight="1">
      <c r="A46" s="158" t="s">
        <v>1176</v>
      </c>
    </row>
    <row r="47" s="158" customFormat="1" ht="25.5" customHeight="1">
      <c r="A47" s="158" t="s">
        <v>295</v>
      </c>
    </row>
    <row r="48" s="158" customFormat="1" ht="25.5" customHeight="1">
      <c r="A48" s="158" t="s">
        <v>573</v>
      </c>
    </row>
    <row r="49" s="158" customFormat="1" ht="25.5" customHeight="1">
      <c r="A49" s="158" t="s">
        <v>834</v>
      </c>
    </row>
    <row r="50" s="158" customFormat="1" ht="25.5" customHeight="1">
      <c r="A50" s="158" t="s">
        <v>296</v>
      </c>
    </row>
    <row r="51" s="158" customFormat="1" ht="25.5" customHeight="1">
      <c r="A51" s="158" t="s">
        <v>85</v>
      </c>
    </row>
    <row r="52" s="158" customFormat="1" ht="25.5" customHeight="1">
      <c r="A52" s="158" t="s">
        <v>1037</v>
      </c>
    </row>
    <row r="53" s="158" customFormat="1" ht="25.5" customHeight="1">
      <c r="A53" s="158" t="s">
        <v>1038</v>
      </c>
    </row>
    <row r="54" s="158" customFormat="1" ht="25.5" customHeight="1">
      <c r="A54" s="158" t="s">
        <v>1177</v>
      </c>
    </row>
    <row r="55" s="158" customFormat="1" ht="25.5" customHeight="1">
      <c r="A55" s="158" t="s">
        <v>1178</v>
      </c>
    </row>
    <row r="56" s="158" customFormat="1" ht="25.5" customHeight="1">
      <c r="A56" s="158" t="s">
        <v>1179</v>
      </c>
    </row>
    <row r="57" s="158" customFormat="1" ht="25.5" customHeight="1">
      <c r="A57" s="158" t="s">
        <v>1180</v>
      </c>
    </row>
    <row r="58" s="158" customFormat="1" ht="25.5" customHeight="1">
      <c r="A58" s="158" t="s">
        <v>1181</v>
      </c>
    </row>
    <row r="59" s="158" customFormat="1" ht="25.5" customHeight="1">
      <c r="A59" s="158" t="s">
        <v>70</v>
      </c>
    </row>
    <row r="60" s="160" customFormat="1" ht="25.5" customHeight="1">
      <c r="A60" s="160" t="s">
        <v>1220</v>
      </c>
    </row>
    <row r="61" s="160" customFormat="1" ht="25.5" customHeight="1">
      <c r="A61" s="160" t="s">
        <v>86</v>
      </c>
    </row>
    <row r="62" s="160" customFormat="1" ht="25.5" customHeight="1">
      <c r="A62" s="160" t="s">
        <v>87</v>
      </c>
    </row>
    <row r="63" s="160" customFormat="1" ht="25.5" customHeight="1">
      <c r="J63" s="161" t="s">
        <v>592</v>
      </c>
    </row>
    <row r="64" spans="2:10" s="160" customFormat="1" ht="25.5" customHeight="1">
      <c r="B64" s="162" t="s">
        <v>1039</v>
      </c>
      <c r="F64" s="163" t="s">
        <v>349</v>
      </c>
      <c r="G64" s="164"/>
      <c r="H64" s="165" t="s">
        <v>236</v>
      </c>
      <c r="I64" s="166"/>
      <c r="J64" s="165" t="s">
        <v>141</v>
      </c>
    </row>
    <row r="65" spans="2:13" s="160" customFormat="1" ht="25.5" customHeight="1">
      <c r="B65" s="160" t="s">
        <v>611</v>
      </c>
      <c r="F65" s="167" t="s">
        <v>888</v>
      </c>
      <c r="G65" s="168"/>
      <c r="H65" s="178">
        <v>108000000</v>
      </c>
      <c r="I65" s="137"/>
      <c r="J65" s="178">
        <v>108000000</v>
      </c>
      <c r="M65" s="137"/>
    </row>
    <row r="66" spans="2:13" s="160" customFormat="1" ht="25.5" customHeight="1">
      <c r="B66" s="160" t="s">
        <v>612</v>
      </c>
      <c r="F66" s="167" t="s">
        <v>118</v>
      </c>
      <c r="G66" s="168"/>
      <c r="H66" s="178">
        <v>17500000</v>
      </c>
      <c r="I66" s="137"/>
      <c r="J66" s="178">
        <v>17500000</v>
      </c>
      <c r="M66" s="137"/>
    </row>
    <row r="67" spans="2:13" s="160" customFormat="1" ht="25.5" customHeight="1">
      <c r="B67" s="160" t="s">
        <v>681</v>
      </c>
      <c r="F67" s="167" t="s">
        <v>888</v>
      </c>
      <c r="G67" s="168"/>
      <c r="H67" s="178">
        <v>3000000</v>
      </c>
      <c r="I67" s="137"/>
      <c r="J67" s="178">
        <v>6000000</v>
      </c>
      <c r="M67" s="137"/>
    </row>
    <row r="68" spans="2:13" s="160" customFormat="1" ht="25.5" customHeight="1">
      <c r="B68" s="160" t="s">
        <v>636</v>
      </c>
      <c r="F68" s="167" t="s">
        <v>126</v>
      </c>
      <c r="G68" s="168"/>
      <c r="H68" s="178">
        <v>12000000</v>
      </c>
      <c r="I68" s="137"/>
      <c r="J68" s="178">
        <v>15000000</v>
      </c>
      <c r="M68" s="137"/>
    </row>
    <row r="69" spans="2:13" s="160" customFormat="1" ht="25.5" customHeight="1">
      <c r="B69" s="160" t="s">
        <v>637</v>
      </c>
      <c r="F69" s="167" t="s">
        <v>255</v>
      </c>
      <c r="G69" s="168"/>
      <c r="H69" s="178">
        <v>0</v>
      </c>
      <c r="I69" s="137"/>
      <c r="J69" s="178">
        <v>5000000</v>
      </c>
      <c r="M69" s="137"/>
    </row>
    <row r="70" spans="2:13" s="160" customFormat="1" ht="25.5" customHeight="1">
      <c r="B70" s="160" t="s">
        <v>638</v>
      </c>
      <c r="F70" s="167" t="s">
        <v>126</v>
      </c>
      <c r="G70" s="168"/>
      <c r="H70" s="178">
        <v>5000000</v>
      </c>
      <c r="I70" s="137"/>
      <c r="J70" s="178">
        <v>5000000</v>
      </c>
      <c r="M70" s="137"/>
    </row>
    <row r="71" spans="2:13" s="160" customFormat="1" ht="25.5" customHeight="1">
      <c r="B71" s="160" t="s">
        <v>639</v>
      </c>
      <c r="F71" s="167" t="s">
        <v>126</v>
      </c>
      <c r="G71" s="168"/>
      <c r="H71" s="178">
        <v>5000000</v>
      </c>
      <c r="I71" s="137"/>
      <c r="J71" s="178">
        <v>5000000</v>
      </c>
      <c r="M71" s="137"/>
    </row>
    <row r="72" spans="2:10" s="160" customFormat="1" ht="25.5" customHeight="1">
      <c r="B72" s="161" t="s">
        <v>402</v>
      </c>
      <c r="F72" s="167"/>
      <c r="G72" s="168"/>
      <c r="H72" s="499">
        <f>SUM(H65:H71)</f>
        <v>150500000</v>
      </c>
      <c r="I72" s="137"/>
      <c r="J72" s="499">
        <f>SUM(J65:J71)</f>
        <v>161500000</v>
      </c>
    </row>
    <row r="73" spans="2:10" s="160" customFormat="1" ht="25.5" customHeight="1">
      <c r="B73" s="161"/>
      <c r="F73" s="167"/>
      <c r="G73" s="168"/>
      <c r="H73" s="341"/>
      <c r="I73" s="137"/>
      <c r="J73" s="341"/>
    </row>
    <row r="74" spans="1:10" ht="28.5" customHeight="1">
      <c r="A74" s="154" t="s">
        <v>105</v>
      </c>
      <c r="B74" s="154"/>
      <c r="C74" s="154"/>
      <c r="D74" s="154"/>
      <c r="E74" s="154"/>
      <c r="F74" s="154"/>
      <c r="G74" s="154"/>
      <c r="H74" s="154"/>
      <c r="I74" s="154"/>
      <c r="J74" s="154"/>
    </row>
    <row r="75" spans="2:13" s="159" customFormat="1" ht="28.5" customHeight="1">
      <c r="B75" s="160"/>
      <c r="F75" s="171"/>
      <c r="G75" s="169"/>
      <c r="H75" s="180"/>
      <c r="I75" s="170"/>
      <c r="J75" s="180"/>
      <c r="M75" s="68"/>
    </row>
    <row r="76" s="158" customFormat="1" ht="28.5" customHeight="1">
      <c r="A76" s="157" t="s">
        <v>1219</v>
      </c>
    </row>
    <row r="77" s="160" customFormat="1" ht="28.5" customHeight="1">
      <c r="J77" s="161" t="s">
        <v>592</v>
      </c>
    </row>
    <row r="78" spans="2:10" s="159" customFormat="1" ht="28.5" customHeight="1">
      <c r="B78" s="162" t="s">
        <v>648</v>
      </c>
      <c r="F78" s="163" t="s">
        <v>349</v>
      </c>
      <c r="G78" s="164"/>
      <c r="H78" s="165" t="s">
        <v>236</v>
      </c>
      <c r="I78" s="166"/>
      <c r="J78" s="165" t="s">
        <v>141</v>
      </c>
    </row>
    <row r="79" spans="2:13" s="160" customFormat="1" ht="28.5" customHeight="1">
      <c r="B79" s="160" t="s">
        <v>637</v>
      </c>
      <c r="F79" s="167" t="s">
        <v>255</v>
      </c>
      <c r="G79" s="168"/>
      <c r="H79" s="178">
        <v>5000000</v>
      </c>
      <c r="I79" s="137"/>
      <c r="J79" s="178">
        <v>0</v>
      </c>
      <c r="M79" s="137"/>
    </row>
    <row r="80" spans="2:13" s="159" customFormat="1" ht="28.5" customHeight="1">
      <c r="B80" s="160" t="s">
        <v>294</v>
      </c>
      <c r="M80" s="137"/>
    </row>
    <row r="81" spans="2:13" s="159" customFormat="1" ht="28.5" customHeight="1">
      <c r="B81" s="160" t="s">
        <v>1182</v>
      </c>
      <c r="F81" s="167"/>
      <c r="G81" s="169"/>
      <c r="H81" s="66"/>
      <c r="I81" s="170"/>
      <c r="J81" s="170"/>
      <c r="M81" s="137"/>
    </row>
    <row r="82" spans="2:13" s="159" customFormat="1" ht="28.5" customHeight="1">
      <c r="B82" s="160" t="s">
        <v>1183</v>
      </c>
      <c r="F82" s="167" t="s">
        <v>255</v>
      </c>
      <c r="G82" s="169"/>
      <c r="H82" s="66">
        <v>0</v>
      </c>
      <c r="I82" s="170"/>
      <c r="J82" s="170">
        <v>37500000</v>
      </c>
      <c r="M82" s="137"/>
    </row>
    <row r="83" spans="2:13" s="159" customFormat="1" ht="28.5" customHeight="1">
      <c r="B83" s="160" t="s">
        <v>640</v>
      </c>
      <c r="F83" s="167" t="s">
        <v>255</v>
      </c>
      <c r="G83" s="169"/>
      <c r="H83" s="66">
        <v>0</v>
      </c>
      <c r="I83" s="170"/>
      <c r="J83" s="170">
        <v>110500000</v>
      </c>
      <c r="M83" s="137"/>
    </row>
    <row r="84" spans="2:13" s="159" customFormat="1" ht="28.5" customHeight="1">
      <c r="B84" s="160" t="s">
        <v>641</v>
      </c>
      <c r="F84" s="167" t="s">
        <v>126</v>
      </c>
      <c r="G84" s="169"/>
      <c r="H84" s="66">
        <v>0</v>
      </c>
      <c r="I84" s="170"/>
      <c r="J84" s="170">
        <v>17000000</v>
      </c>
      <c r="M84" s="137"/>
    </row>
    <row r="85" spans="2:13" s="159" customFormat="1" ht="28.5" customHeight="1">
      <c r="B85" s="160" t="s">
        <v>644</v>
      </c>
      <c r="F85" s="167" t="s">
        <v>126</v>
      </c>
      <c r="G85" s="169"/>
      <c r="H85" s="66">
        <v>0</v>
      </c>
      <c r="I85" s="170"/>
      <c r="J85" s="170">
        <v>30000000</v>
      </c>
      <c r="M85" s="137"/>
    </row>
    <row r="86" spans="2:13" s="159" customFormat="1" ht="28.5" customHeight="1">
      <c r="B86" s="160" t="s">
        <v>645</v>
      </c>
      <c r="F86" s="167" t="s">
        <v>371</v>
      </c>
      <c r="G86" s="169"/>
      <c r="H86" s="66">
        <v>10000000</v>
      </c>
      <c r="I86" s="170"/>
      <c r="J86" s="170">
        <v>10000000</v>
      </c>
      <c r="M86" s="137"/>
    </row>
    <row r="87" spans="2:13" s="159" customFormat="1" ht="28.5" customHeight="1">
      <c r="B87" s="160" t="s">
        <v>646</v>
      </c>
      <c r="F87" s="167" t="s">
        <v>126</v>
      </c>
      <c r="G87" s="169"/>
      <c r="H87" s="66">
        <v>1000000</v>
      </c>
      <c r="I87" s="170"/>
      <c r="J87" s="170">
        <v>1000000</v>
      </c>
      <c r="M87" s="137"/>
    </row>
    <row r="88" spans="2:13" s="159" customFormat="1" ht="28.5" customHeight="1">
      <c r="B88" s="160" t="s">
        <v>682</v>
      </c>
      <c r="F88" s="167" t="s">
        <v>255</v>
      </c>
      <c r="G88" s="169"/>
      <c r="H88" s="63">
        <v>0</v>
      </c>
      <c r="I88" s="170"/>
      <c r="J88" s="170">
        <v>33646800</v>
      </c>
      <c r="M88" s="137"/>
    </row>
    <row r="89" spans="2:13" s="159" customFormat="1" ht="28.5" customHeight="1">
      <c r="B89" s="160" t="s">
        <v>1040</v>
      </c>
      <c r="F89" s="342" t="s">
        <v>887</v>
      </c>
      <c r="G89" s="169"/>
      <c r="H89" s="63">
        <v>0</v>
      </c>
      <c r="I89" s="63"/>
      <c r="J89" s="63">
        <v>255150000</v>
      </c>
      <c r="M89" s="137"/>
    </row>
    <row r="90" spans="2:13" s="159" customFormat="1" ht="28.5" customHeight="1">
      <c r="B90" s="161" t="s">
        <v>402</v>
      </c>
      <c r="F90" s="171"/>
      <c r="G90" s="169"/>
      <c r="H90" s="172">
        <f>SUM(H79:H89)</f>
        <v>16000000</v>
      </c>
      <c r="I90" s="170"/>
      <c r="J90" s="172">
        <f>SUM(J79:J89)</f>
        <v>494796800</v>
      </c>
      <c r="M90" s="343"/>
    </row>
    <row r="91" spans="2:13" s="159" customFormat="1" ht="28.5" customHeight="1" thickBot="1">
      <c r="B91" s="160" t="s">
        <v>647</v>
      </c>
      <c r="F91" s="171"/>
      <c r="G91" s="169"/>
      <c r="H91" s="173">
        <f>+H72+H90</f>
        <v>166500000</v>
      </c>
      <c r="I91" s="170"/>
      <c r="J91" s="173">
        <f>+J72+J90</f>
        <v>656296800</v>
      </c>
      <c r="M91" s="68"/>
    </row>
    <row r="92" spans="1:13" s="159" customFormat="1" ht="28.5" customHeight="1" thickTop="1">
      <c r="A92" s="160" t="s">
        <v>1041</v>
      </c>
      <c r="B92" s="137" t="s">
        <v>1184</v>
      </c>
      <c r="M92" s="68"/>
    </row>
    <row r="93" spans="1:13" s="160" customFormat="1" ht="28.5" customHeight="1">
      <c r="A93" s="137" t="s">
        <v>1185</v>
      </c>
      <c r="C93" s="137"/>
      <c r="M93" s="344"/>
    </row>
    <row r="94" spans="1:2" s="160" customFormat="1" ht="28.5" customHeight="1">
      <c r="A94" s="158"/>
      <c r="B94" s="137" t="s">
        <v>1042</v>
      </c>
    </row>
    <row r="95" spans="1:3" s="160" customFormat="1" ht="28.5" customHeight="1">
      <c r="A95" s="137" t="s">
        <v>1043</v>
      </c>
      <c r="C95" s="137"/>
    </row>
    <row r="96" spans="1:3" s="160" customFormat="1" ht="28.5" customHeight="1">
      <c r="A96" s="137" t="s">
        <v>1044</v>
      </c>
      <c r="C96" s="137"/>
    </row>
    <row r="97" spans="1:2" s="160" customFormat="1" ht="28.5" customHeight="1">
      <c r="A97" s="137" t="s">
        <v>1045</v>
      </c>
      <c r="B97" s="158"/>
    </row>
    <row r="98" spans="1:2" s="174" customFormat="1" ht="28.5" customHeight="1">
      <c r="A98" s="160" t="s">
        <v>683</v>
      </c>
      <c r="B98" s="159"/>
    </row>
    <row r="99" spans="1:2" s="174" customFormat="1" ht="28.5" customHeight="1">
      <c r="A99" s="160" t="s">
        <v>684</v>
      </c>
      <c r="B99" s="159"/>
    </row>
    <row r="100" s="174" customFormat="1" ht="28.5" customHeight="1">
      <c r="A100" s="160" t="s">
        <v>685</v>
      </c>
    </row>
    <row r="101" s="174" customFormat="1" ht="28.5" customHeight="1">
      <c r="A101" s="160" t="s">
        <v>686</v>
      </c>
    </row>
    <row r="102" ht="28.5" customHeight="1">
      <c r="A102" s="160" t="s">
        <v>1046</v>
      </c>
    </row>
    <row r="103" ht="28.5" customHeight="1">
      <c r="A103" s="160" t="s">
        <v>1047</v>
      </c>
    </row>
    <row r="104" ht="28.5" customHeight="1">
      <c r="B104" s="174" t="s">
        <v>1186</v>
      </c>
    </row>
    <row r="105" ht="28.5" customHeight="1"/>
  </sheetData>
  <sheetProtection/>
  <mergeCells count="4">
    <mergeCell ref="D9:F9"/>
    <mergeCell ref="D10:F10"/>
    <mergeCell ref="H9:J9"/>
    <mergeCell ref="H10:J10"/>
  </mergeCells>
  <printOptions/>
  <pageMargins left="0.5905511811023623" right="0.1968503937007874" top="0.5511811023622047" bottom="0.35433070866141736" header="0.4330708661417323" footer="0.2362204724409449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44"/>
  <sheetViews>
    <sheetView zoomScaleSheetLayoutView="90" zoomScalePageLayoutView="0" workbookViewId="0" topLeftCell="A37">
      <selection activeCell="A137" sqref="A137"/>
    </sheetView>
  </sheetViews>
  <sheetFormatPr defaultColWidth="9.140625" defaultRowHeight="26.25" customHeight="1"/>
  <cols>
    <col min="1" max="1" width="28.421875" style="349" customWidth="1"/>
    <col min="2" max="2" width="18.8515625" style="349" customWidth="1"/>
    <col min="3" max="3" width="0.85546875" style="349" customWidth="1"/>
    <col min="4" max="4" width="11.28125" style="349" customWidth="1"/>
    <col min="5" max="5" width="0.85546875" style="349" customWidth="1"/>
    <col min="6" max="6" width="9.8515625" style="349" customWidth="1"/>
    <col min="7" max="7" width="0.85546875" style="349" customWidth="1"/>
    <col min="8" max="8" width="10.7109375" style="349" customWidth="1"/>
    <col min="9" max="9" width="0.85546875" style="349" customWidth="1"/>
    <col min="10" max="10" width="11.00390625" style="349" customWidth="1"/>
    <col min="11" max="11" width="0.85546875" style="349" customWidth="1"/>
    <col min="12" max="12" width="11.28125" style="349" customWidth="1"/>
    <col min="13" max="13" width="0.85546875" style="349" customWidth="1"/>
    <col min="14" max="14" width="8.7109375" style="349" customWidth="1"/>
    <col min="15" max="15" width="1.28515625" style="349" customWidth="1"/>
    <col min="16" max="16" width="12.00390625" style="349" customWidth="1"/>
    <col min="17" max="17" width="1.1484375" style="349" customWidth="1"/>
    <col min="18" max="18" width="12.140625" style="349" customWidth="1"/>
    <col min="19" max="19" width="1.57421875" style="349" customWidth="1"/>
    <col min="20" max="20" width="5.28125" style="349" customWidth="1"/>
    <col min="21" max="16384" width="9.140625" style="349" customWidth="1"/>
  </cols>
  <sheetData>
    <row r="1" spans="1:20" ht="24" customHeight="1">
      <c r="A1" s="631" t="s">
        <v>1272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  <c r="O1" s="631"/>
      <c r="P1" s="631"/>
      <c r="Q1" s="631"/>
      <c r="R1" s="631"/>
      <c r="S1" s="347"/>
      <c r="T1" s="348"/>
    </row>
    <row r="2" spans="1:20" ht="24" customHeight="1">
      <c r="A2" s="315"/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47"/>
      <c r="T2" s="348"/>
    </row>
    <row r="3" ht="24" customHeight="1">
      <c r="A3" s="350" t="s">
        <v>1221</v>
      </c>
    </row>
    <row r="4" ht="24" customHeight="1">
      <c r="A4" s="349" t="s">
        <v>1222</v>
      </c>
    </row>
    <row r="5" ht="24" customHeight="1">
      <c r="A5" s="349" t="s">
        <v>1187</v>
      </c>
    </row>
    <row r="6" spans="10:19" ht="24" customHeight="1">
      <c r="J6" s="347"/>
      <c r="R6" s="351" t="s">
        <v>841</v>
      </c>
      <c r="S6" s="351"/>
    </row>
    <row r="7" spans="4:18" ht="24" customHeight="1">
      <c r="D7" s="352" t="s">
        <v>842</v>
      </c>
      <c r="E7" s="352"/>
      <c r="F7" s="352"/>
      <c r="H7" s="352" t="s">
        <v>843</v>
      </c>
      <c r="I7" s="352"/>
      <c r="J7" s="352"/>
      <c r="L7" s="352" t="s">
        <v>844</v>
      </c>
      <c r="M7" s="352"/>
      <c r="N7" s="352"/>
      <c r="P7" s="352" t="s">
        <v>402</v>
      </c>
      <c r="Q7" s="352"/>
      <c r="R7" s="352"/>
    </row>
    <row r="8" spans="4:19" ht="24" customHeight="1">
      <c r="D8" s="353">
        <v>2009</v>
      </c>
      <c r="E8" s="354">
        <v>2007</v>
      </c>
      <c r="F8" s="355">
        <v>2008</v>
      </c>
      <c r="H8" s="353">
        <v>2009</v>
      </c>
      <c r="I8" s="354">
        <v>2007</v>
      </c>
      <c r="J8" s="355">
        <v>2008</v>
      </c>
      <c r="L8" s="353">
        <v>2009</v>
      </c>
      <c r="M8" s="354"/>
      <c r="N8" s="355">
        <v>2008</v>
      </c>
      <c r="P8" s="353">
        <v>2009</v>
      </c>
      <c r="Q8" s="354"/>
      <c r="R8" s="355">
        <v>2008</v>
      </c>
      <c r="S8" s="356"/>
    </row>
    <row r="9" spans="1:21" ht="24" customHeight="1">
      <c r="A9" s="349" t="s">
        <v>845</v>
      </c>
      <c r="D9" s="357">
        <v>1209230</v>
      </c>
      <c r="E9" s="357"/>
      <c r="F9" s="357">
        <v>1140683</v>
      </c>
      <c r="G9" s="357"/>
      <c r="H9" s="357">
        <v>1645440</v>
      </c>
      <c r="I9" s="357"/>
      <c r="J9" s="357">
        <v>1675222</v>
      </c>
      <c r="K9" s="357"/>
      <c r="L9" s="358">
        <v>159935</v>
      </c>
      <c r="M9" s="357"/>
      <c r="N9" s="358">
        <v>56047</v>
      </c>
      <c r="O9" s="357"/>
      <c r="P9" s="357">
        <f>+D9+H9+L9</f>
        <v>3014605</v>
      </c>
      <c r="Q9" s="357"/>
      <c r="R9" s="357">
        <f>+F9+J9+N9</f>
        <v>2871952</v>
      </c>
      <c r="U9" s="137"/>
    </row>
    <row r="10" spans="1:21" ht="24" customHeight="1">
      <c r="A10" s="349" t="s">
        <v>846</v>
      </c>
      <c r="D10" s="359">
        <v>-49224</v>
      </c>
      <c r="E10" s="357"/>
      <c r="F10" s="359">
        <v>-12073</v>
      </c>
      <c r="G10" s="357"/>
      <c r="H10" s="359">
        <v>-1460305</v>
      </c>
      <c r="I10" s="357"/>
      <c r="J10" s="359">
        <v>-1489926</v>
      </c>
      <c r="K10" s="357"/>
      <c r="L10" s="359">
        <v>-40438</v>
      </c>
      <c r="M10" s="357"/>
      <c r="N10" s="359">
        <v>-16708</v>
      </c>
      <c r="O10" s="357"/>
      <c r="P10" s="359">
        <f>+D10+H10+L10</f>
        <v>-1549967</v>
      </c>
      <c r="Q10" s="357"/>
      <c r="R10" s="359">
        <f>+F10+J10+N10</f>
        <v>-1518707</v>
      </c>
      <c r="S10" s="360"/>
      <c r="U10" s="137"/>
    </row>
    <row r="11" spans="1:21" ht="24" customHeight="1">
      <c r="A11" s="349" t="s">
        <v>847</v>
      </c>
      <c r="D11" s="357">
        <f>+D9+D10</f>
        <v>1160006</v>
      </c>
      <c r="E11" s="357"/>
      <c r="F11" s="357">
        <f>+F9+F10</f>
        <v>1128610</v>
      </c>
      <c r="G11" s="357"/>
      <c r="H11" s="357">
        <f>+H9+H10</f>
        <v>185135</v>
      </c>
      <c r="I11" s="357"/>
      <c r="J11" s="357">
        <f>+J9+J10</f>
        <v>185296</v>
      </c>
      <c r="K11" s="357"/>
      <c r="L11" s="358">
        <f>SUM(L9:L10)</f>
        <v>119497</v>
      </c>
      <c r="M11" s="357"/>
      <c r="N11" s="358">
        <f>SUM(N9:N10)</f>
        <v>39339</v>
      </c>
      <c r="O11" s="357"/>
      <c r="P11" s="357">
        <f>+P9+P10</f>
        <v>1464638</v>
      </c>
      <c r="Q11" s="357"/>
      <c r="R11" s="357">
        <f>+R9+R10</f>
        <v>1353245</v>
      </c>
      <c r="U11" s="137"/>
    </row>
    <row r="12" spans="1:21" ht="24" customHeight="1">
      <c r="A12" s="349" t="s">
        <v>848</v>
      </c>
      <c r="D12" s="357"/>
      <c r="E12" s="357"/>
      <c r="F12" s="357"/>
      <c r="G12" s="357"/>
      <c r="H12" s="357"/>
      <c r="I12" s="357"/>
      <c r="J12" s="357"/>
      <c r="K12" s="357"/>
      <c r="L12" s="357"/>
      <c r="M12" s="357"/>
      <c r="N12" s="357"/>
      <c r="O12" s="357"/>
      <c r="P12" s="361">
        <v>-354747</v>
      </c>
      <c r="Q12" s="357"/>
      <c r="R12" s="357">
        <v>-319811</v>
      </c>
      <c r="S12" s="362"/>
      <c r="U12" s="137"/>
    </row>
    <row r="13" spans="1:21" ht="24" customHeight="1">
      <c r="A13" s="349" t="s">
        <v>849</v>
      </c>
      <c r="D13" s="357"/>
      <c r="E13" s="357"/>
      <c r="F13" s="357"/>
      <c r="G13" s="357"/>
      <c r="H13" s="357"/>
      <c r="I13" s="357"/>
      <c r="J13" s="357"/>
      <c r="K13" s="357"/>
      <c r="L13" s="357"/>
      <c r="M13" s="357"/>
      <c r="N13" s="357"/>
      <c r="O13" s="357"/>
      <c r="P13" s="363">
        <v>-41832</v>
      </c>
      <c r="Q13" s="364"/>
      <c r="R13" s="364">
        <v>-55012</v>
      </c>
      <c r="S13" s="362"/>
      <c r="U13" s="137"/>
    </row>
    <row r="14" spans="1:21" ht="24" customHeight="1">
      <c r="A14" s="349" t="s">
        <v>850</v>
      </c>
      <c r="D14" s="357"/>
      <c r="E14" s="357"/>
      <c r="F14" s="357"/>
      <c r="G14" s="357"/>
      <c r="H14" s="357"/>
      <c r="I14" s="357"/>
      <c r="J14" s="357"/>
      <c r="K14" s="357"/>
      <c r="L14" s="357"/>
      <c r="M14" s="357"/>
      <c r="N14" s="357"/>
      <c r="O14" s="357"/>
      <c r="P14" s="363">
        <v>0</v>
      </c>
      <c r="Q14" s="364"/>
      <c r="R14" s="364">
        <v>20918</v>
      </c>
      <c r="S14" s="362"/>
      <c r="U14" s="137"/>
    </row>
    <row r="15" spans="1:21" ht="24" customHeight="1">
      <c r="A15" s="349" t="s">
        <v>851</v>
      </c>
      <c r="D15" s="357"/>
      <c r="E15" s="357"/>
      <c r="F15" s="357"/>
      <c r="G15" s="357"/>
      <c r="H15" s="357"/>
      <c r="I15" s="357"/>
      <c r="J15" s="357"/>
      <c r="K15" s="357"/>
      <c r="L15" s="357"/>
      <c r="M15" s="357"/>
      <c r="N15" s="357"/>
      <c r="O15" s="357"/>
      <c r="P15" s="365">
        <v>-64721</v>
      </c>
      <c r="Q15" s="364"/>
      <c r="R15" s="359">
        <v>-75899</v>
      </c>
      <c r="S15" s="362"/>
      <c r="U15" s="137"/>
    </row>
    <row r="16" spans="1:21" ht="24" customHeight="1" thickBot="1">
      <c r="A16" s="349" t="s">
        <v>1189</v>
      </c>
      <c r="D16" s="357"/>
      <c r="E16" s="357"/>
      <c r="F16" s="357"/>
      <c r="G16" s="357"/>
      <c r="H16" s="357"/>
      <c r="I16" s="357"/>
      <c r="J16" s="357"/>
      <c r="K16" s="357"/>
      <c r="L16" s="357"/>
      <c r="M16" s="357"/>
      <c r="N16" s="357"/>
      <c r="O16" s="357"/>
      <c r="P16" s="366">
        <f>SUM(P11:P15)</f>
        <v>1003338</v>
      </c>
      <c r="Q16" s="357"/>
      <c r="R16" s="366">
        <f>SUM(R11:R15)</f>
        <v>923441</v>
      </c>
      <c r="U16" s="137"/>
    </row>
    <row r="17" spans="1:21" ht="24" customHeight="1" thickTop="1">
      <c r="A17" s="349" t="s">
        <v>852</v>
      </c>
      <c r="D17" s="357">
        <v>88664</v>
      </c>
      <c r="E17" s="357"/>
      <c r="F17" s="357">
        <v>100782</v>
      </c>
      <c r="G17" s="357"/>
      <c r="H17" s="357">
        <v>667821</v>
      </c>
      <c r="I17" s="357"/>
      <c r="J17" s="357">
        <v>675799</v>
      </c>
      <c r="K17" s="357"/>
      <c r="L17" s="357">
        <v>250122</v>
      </c>
      <c r="M17" s="357"/>
      <c r="N17" s="357">
        <v>244873</v>
      </c>
      <c r="O17" s="357"/>
      <c r="P17" s="357">
        <f>+D17+H17+L17</f>
        <v>1006607</v>
      </c>
      <c r="Q17" s="357"/>
      <c r="R17" s="357">
        <f>+F17+J17+N17</f>
        <v>1021454</v>
      </c>
      <c r="U17" s="137"/>
    </row>
    <row r="18" spans="1:21" ht="24" customHeight="1">
      <c r="A18" s="349" t="s">
        <v>853</v>
      </c>
      <c r="D18" s="357"/>
      <c r="E18" s="357"/>
      <c r="F18" s="357"/>
      <c r="G18" s="357"/>
      <c r="H18" s="357"/>
      <c r="I18" s="357"/>
      <c r="J18" s="357"/>
      <c r="K18" s="357"/>
      <c r="L18" s="357"/>
      <c r="M18" s="357"/>
      <c r="N18" s="357"/>
      <c r="O18" s="357"/>
      <c r="P18" s="357">
        <v>12794606</v>
      </c>
      <c r="Q18" s="357"/>
      <c r="R18" s="357">
        <v>12005411</v>
      </c>
      <c r="U18" s="137"/>
    </row>
    <row r="19" spans="1:21" ht="24" customHeight="1" thickBot="1">
      <c r="A19" s="349" t="s">
        <v>854</v>
      </c>
      <c r="D19" s="357"/>
      <c r="E19" s="357"/>
      <c r="F19" s="357"/>
      <c r="G19" s="357"/>
      <c r="H19" s="357"/>
      <c r="I19" s="357"/>
      <c r="J19" s="357"/>
      <c r="K19" s="357"/>
      <c r="L19" s="357"/>
      <c r="M19" s="357"/>
      <c r="N19" s="357"/>
      <c r="O19" s="357"/>
      <c r="P19" s="366">
        <f>SUM(P17:P18)</f>
        <v>13801213</v>
      </c>
      <c r="Q19" s="357"/>
      <c r="R19" s="366">
        <f>SUM(R17:R18)</f>
        <v>13026865</v>
      </c>
      <c r="S19" s="367"/>
      <c r="U19" s="137"/>
    </row>
    <row r="20" spans="1:21" ht="24" customHeight="1" thickTop="1">
      <c r="A20" s="349" t="s">
        <v>855</v>
      </c>
      <c r="D20" s="357">
        <v>15600</v>
      </c>
      <c r="E20" s="357"/>
      <c r="F20" s="357">
        <v>18179</v>
      </c>
      <c r="G20" s="357"/>
      <c r="H20" s="357">
        <v>195029</v>
      </c>
      <c r="I20" s="357"/>
      <c r="J20" s="357">
        <v>220966</v>
      </c>
      <c r="K20" s="357"/>
      <c r="L20" s="357">
        <v>0</v>
      </c>
      <c r="M20" s="357"/>
      <c r="N20" s="357">
        <v>0</v>
      </c>
      <c r="O20" s="357"/>
      <c r="P20" s="357">
        <f>+D20+H20+L20</f>
        <v>210629</v>
      </c>
      <c r="Q20" s="357"/>
      <c r="R20" s="357">
        <f>+F20+J20+N20</f>
        <v>239145</v>
      </c>
      <c r="U20" s="137"/>
    </row>
    <row r="21" spans="1:21" ht="24" customHeight="1">
      <c r="A21" s="349" t="s">
        <v>856</v>
      </c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368">
        <v>1025335</v>
      </c>
      <c r="Q21" s="369"/>
      <c r="R21" s="368">
        <v>1480745</v>
      </c>
      <c r="U21" s="137"/>
    </row>
    <row r="22" spans="1:21" ht="24" customHeight="1" thickBot="1">
      <c r="A22" s="349" t="s">
        <v>857</v>
      </c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370">
        <f>SUM(P20:P21)</f>
        <v>1235964</v>
      </c>
      <c r="Q22" s="369"/>
      <c r="R22" s="370">
        <f>SUM(R20:R21)</f>
        <v>1719890</v>
      </c>
      <c r="U22" s="137"/>
    </row>
    <row r="23" spans="1:20" ht="24" customHeight="1" thickTop="1">
      <c r="A23" s="631" t="s">
        <v>482</v>
      </c>
      <c r="B23" s="631"/>
      <c r="C23" s="631"/>
      <c r="D23" s="631"/>
      <c r="E23" s="631"/>
      <c r="F23" s="631"/>
      <c r="G23" s="631"/>
      <c r="H23" s="631"/>
      <c r="I23" s="631"/>
      <c r="J23" s="631"/>
      <c r="K23" s="631"/>
      <c r="L23" s="631"/>
      <c r="M23" s="631"/>
      <c r="N23" s="631"/>
      <c r="O23" s="631"/>
      <c r="P23" s="631"/>
      <c r="Q23" s="631"/>
      <c r="R23" s="631"/>
      <c r="S23" s="347"/>
      <c r="T23" s="348"/>
    </row>
    <row r="24" spans="1:20" ht="24" customHeight="1">
      <c r="A24" s="315"/>
      <c r="B24" s="315"/>
      <c r="C24" s="31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47"/>
      <c r="T24" s="348"/>
    </row>
    <row r="25" ht="24" customHeight="1">
      <c r="A25" s="350" t="s">
        <v>1223</v>
      </c>
    </row>
    <row r="26" ht="24" customHeight="1">
      <c r="A26" s="349" t="s">
        <v>1224</v>
      </c>
    </row>
    <row r="27" ht="24" customHeight="1">
      <c r="A27" s="349" t="s">
        <v>1188</v>
      </c>
    </row>
    <row r="28" spans="10:19" ht="24" customHeight="1">
      <c r="J28" s="347"/>
      <c r="R28" s="351" t="s">
        <v>841</v>
      </c>
      <c r="S28" s="351"/>
    </row>
    <row r="29" spans="4:18" ht="24" customHeight="1">
      <c r="D29" s="352" t="s">
        <v>842</v>
      </c>
      <c r="E29" s="352"/>
      <c r="F29" s="352"/>
      <c r="H29" s="352" t="s">
        <v>843</v>
      </c>
      <c r="I29" s="352"/>
      <c r="J29" s="352"/>
      <c r="L29" s="352" t="s">
        <v>844</v>
      </c>
      <c r="M29" s="352"/>
      <c r="N29" s="352"/>
      <c r="P29" s="352" t="s">
        <v>402</v>
      </c>
      <c r="Q29" s="352"/>
      <c r="R29" s="352"/>
    </row>
    <row r="30" spans="4:19" ht="24" customHeight="1">
      <c r="D30" s="355">
        <v>2009</v>
      </c>
      <c r="E30" s="354"/>
      <c r="F30" s="355">
        <v>2008</v>
      </c>
      <c r="H30" s="355">
        <v>2009</v>
      </c>
      <c r="I30" s="354"/>
      <c r="J30" s="355">
        <v>2008</v>
      </c>
      <c r="L30" s="355">
        <v>2009</v>
      </c>
      <c r="M30" s="354"/>
      <c r="N30" s="355">
        <v>2008</v>
      </c>
      <c r="P30" s="355">
        <v>2009</v>
      </c>
      <c r="Q30" s="354"/>
      <c r="R30" s="355">
        <v>2008</v>
      </c>
      <c r="S30" s="356"/>
    </row>
    <row r="31" spans="1:21" ht="24" customHeight="1">
      <c r="A31" s="349" t="s">
        <v>845</v>
      </c>
      <c r="D31" s="371">
        <v>657972</v>
      </c>
      <c r="E31" s="372"/>
      <c r="F31" s="371">
        <v>555980</v>
      </c>
      <c r="G31" s="372"/>
      <c r="H31" s="372">
        <v>1645440</v>
      </c>
      <c r="I31" s="372"/>
      <c r="J31" s="372">
        <v>1675222</v>
      </c>
      <c r="K31" s="372"/>
      <c r="L31" s="373">
        <v>159935</v>
      </c>
      <c r="M31" s="372"/>
      <c r="N31" s="373">
        <v>56047</v>
      </c>
      <c r="O31" s="361"/>
      <c r="P31" s="361">
        <f>D31+H31+L31</f>
        <v>2463347</v>
      </c>
      <c r="Q31" s="361"/>
      <c r="R31" s="361">
        <f>+F31+J31+N31</f>
        <v>2287249</v>
      </c>
      <c r="U31" s="137"/>
    </row>
    <row r="32" spans="1:21" ht="24" customHeight="1">
      <c r="A32" s="349" t="s">
        <v>846</v>
      </c>
      <c r="D32" s="374">
        <v>-125</v>
      </c>
      <c r="E32" s="372"/>
      <c r="F32" s="374">
        <v>-2105</v>
      </c>
      <c r="G32" s="372"/>
      <c r="H32" s="374">
        <v>-1460305</v>
      </c>
      <c r="I32" s="372"/>
      <c r="J32" s="374">
        <v>-1489925</v>
      </c>
      <c r="K32" s="372"/>
      <c r="L32" s="374">
        <v>-40438</v>
      </c>
      <c r="M32" s="372"/>
      <c r="N32" s="374">
        <v>-16708</v>
      </c>
      <c r="O32" s="361"/>
      <c r="P32" s="365">
        <f>D32+H32+L32</f>
        <v>-1500868</v>
      </c>
      <c r="Q32" s="361"/>
      <c r="R32" s="365">
        <f>+F32+J32+N32</f>
        <v>-1508738</v>
      </c>
      <c r="S32" s="360"/>
      <c r="U32" s="137"/>
    </row>
    <row r="33" spans="1:21" ht="24" customHeight="1">
      <c r="A33" s="349" t="s">
        <v>847</v>
      </c>
      <c r="D33" s="375">
        <f>+D31+D32</f>
        <v>657847</v>
      </c>
      <c r="E33" s="375"/>
      <c r="F33" s="375">
        <f>+F31+F32</f>
        <v>553875</v>
      </c>
      <c r="G33" s="375"/>
      <c r="H33" s="375">
        <f>+H31+H32</f>
        <v>185135</v>
      </c>
      <c r="I33" s="375"/>
      <c r="J33" s="375">
        <f>+J31+J32</f>
        <v>185297</v>
      </c>
      <c r="K33" s="375"/>
      <c r="L33" s="375">
        <f>+L31+L32</f>
        <v>119497</v>
      </c>
      <c r="M33" s="375"/>
      <c r="N33" s="376">
        <f>SUM(N31:N32)</f>
        <v>39339</v>
      </c>
      <c r="O33" s="375"/>
      <c r="P33" s="375">
        <f>+P31+P32</f>
        <v>962479</v>
      </c>
      <c r="Q33" s="375"/>
      <c r="R33" s="375">
        <f>+R31+R32</f>
        <v>778511</v>
      </c>
      <c r="U33" s="137"/>
    </row>
    <row r="34" spans="1:21" ht="24" customHeight="1">
      <c r="A34" s="349" t="s">
        <v>848</v>
      </c>
      <c r="D34" s="361"/>
      <c r="E34" s="361"/>
      <c r="F34" s="361"/>
      <c r="G34" s="361"/>
      <c r="H34" s="361"/>
      <c r="I34" s="361"/>
      <c r="J34" s="361"/>
      <c r="K34" s="361"/>
      <c r="L34" s="361"/>
      <c r="M34" s="361"/>
      <c r="N34" s="361"/>
      <c r="O34" s="361"/>
      <c r="P34" s="372">
        <v>-354747</v>
      </c>
      <c r="Q34" s="372"/>
      <c r="R34" s="372">
        <v>-319811</v>
      </c>
      <c r="S34" s="362"/>
      <c r="U34" s="137"/>
    </row>
    <row r="35" spans="1:21" ht="24" customHeight="1">
      <c r="A35" s="349" t="s">
        <v>849</v>
      </c>
      <c r="D35" s="361"/>
      <c r="E35" s="361"/>
      <c r="F35" s="361"/>
      <c r="G35" s="361"/>
      <c r="H35" s="361"/>
      <c r="I35" s="361"/>
      <c r="J35" s="361"/>
      <c r="K35" s="361"/>
      <c r="L35" s="361"/>
      <c r="M35" s="361"/>
      <c r="N35" s="361"/>
      <c r="O35" s="361"/>
      <c r="P35" s="377">
        <v>-41832</v>
      </c>
      <c r="Q35" s="377"/>
      <c r="R35" s="377">
        <v>-55012</v>
      </c>
      <c r="S35" s="362"/>
      <c r="U35" s="137"/>
    </row>
    <row r="36" spans="1:21" ht="24" customHeight="1">
      <c r="A36" s="349" t="s">
        <v>858</v>
      </c>
      <c r="D36" s="361"/>
      <c r="E36" s="361"/>
      <c r="F36" s="361"/>
      <c r="G36" s="361"/>
      <c r="H36" s="361"/>
      <c r="I36" s="361"/>
      <c r="J36" s="361"/>
      <c r="K36" s="361"/>
      <c r="L36" s="361"/>
      <c r="M36" s="361"/>
      <c r="N36" s="361"/>
      <c r="O36" s="361"/>
      <c r="P36" s="377">
        <v>801</v>
      </c>
      <c r="Q36" s="377"/>
      <c r="R36" s="377">
        <v>20918</v>
      </c>
      <c r="S36" s="362"/>
      <c r="U36" s="137"/>
    </row>
    <row r="37" spans="1:21" ht="24" customHeight="1">
      <c r="A37" s="349" t="s">
        <v>851</v>
      </c>
      <c r="D37" s="361"/>
      <c r="E37" s="361"/>
      <c r="F37" s="361"/>
      <c r="G37" s="361"/>
      <c r="H37" s="361"/>
      <c r="I37" s="361"/>
      <c r="J37" s="361"/>
      <c r="K37" s="361"/>
      <c r="L37" s="361"/>
      <c r="M37" s="361"/>
      <c r="N37" s="361"/>
      <c r="O37" s="361"/>
      <c r="P37" s="374">
        <v>-64721</v>
      </c>
      <c r="Q37" s="377"/>
      <c r="R37" s="374">
        <v>-80423</v>
      </c>
      <c r="S37" s="362"/>
      <c r="U37" s="137"/>
    </row>
    <row r="38" spans="1:21" ht="24" customHeight="1" thickBot="1">
      <c r="A38" s="349" t="s">
        <v>1190</v>
      </c>
      <c r="D38" s="361"/>
      <c r="E38" s="361"/>
      <c r="F38" s="361"/>
      <c r="G38" s="361"/>
      <c r="H38" s="361"/>
      <c r="I38" s="361"/>
      <c r="J38" s="361"/>
      <c r="K38" s="361"/>
      <c r="L38" s="361"/>
      <c r="M38" s="361"/>
      <c r="N38" s="361"/>
      <c r="O38" s="361"/>
      <c r="P38" s="378">
        <f>SUM(P33:P37)</f>
        <v>501980</v>
      </c>
      <c r="Q38" s="361"/>
      <c r="R38" s="378">
        <f>SUM(R33:R37)</f>
        <v>344183</v>
      </c>
      <c r="U38" s="137"/>
    </row>
    <row r="39" spans="1:21" ht="24" customHeight="1" thickTop="1">
      <c r="A39" s="349" t="s">
        <v>852</v>
      </c>
      <c r="D39" s="372">
        <v>88664</v>
      </c>
      <c r="E39" s="372"/>
      <c r="F39" s="372">
        <v>100782</v>
      </c>
      <c r="G39" s="372"/>
      <c r="H39" s="372">
        <v>667821</v>
      </c>
      <c r="I39" s="372"/>
      <c r="J39" s="372">
        <v>675799</v>
      </c>
      <c r="K39" s="372"/>
      <c r="L39" s="372">
        <v>250122</v>
      </c>
      <c r="M39" s="372"/>
      <c r="N39" s="372">
        <v>244873</v>
      </c>
      <c r="O39" s="361"/>
      <c r="P39" s="361">
        <f>+D39+H39+L39</f>
        <v>1006607</v>
      </c>
      <c r="Q39" s="361"/>
      <c r="R39" s="361">
        <f>+F39+J39+N39</f>
        <v>1021454</v>
      </c>
      <c r="U39" s="137"/>
    </row>
    <row r="40" spans="1:21" ht="24" customHeight="1">
      <c r="A40" s="349" t="s">
        <v>853</v>
      </c>
      <c r="D40" s="361"/>
      <c r="E40" s="361"/>
      <c r="F40" s="361"/>
      <c r="G40" s="361"/>
      <c r="H40" s="361"/>
      <c r="I40" s="361"/>
      <c r="J40" s="361"/>
      <c r="K40" s="361"/>
      <c r="L40" s="361"/>
      <c r="M40" s="361"/>
      <c r="N40" s="361"/>
      <c r="O40" s="361"/>
      <c r="P40" s="372">
        <v>5423607</v>
      </c>
      <c r="Q40" s="372"/>
      <c r="R40" s="372">
        <v>5256383</v>
      </c>
      <c r="U40" s="137"/>
    </row>
    <row r="41" spans="1:21" ht="24" customHeight="1" thickBot="1">
      <c r="A41" s="349" t="s">
        <v>854</v>
      </c>
      <c r="D41" s="361"/>
      <c r="E41" s="361"/>
      <c r="F41" s="361"/>
      <c r="G41" s="361"/>
      <c r="H41" s="361"/>
      <c r="I41" s="361"/>
      <c r="J41" s="361"/>
      <c r="K41" s="361"/>
      <c r="L41" s="361"/>
      <c r="M41" s="361"/>
      <c r="N41" s="361"/>
      <c r="O41" s="361"/>
      <c r="P41" s="378">
        <f>SUM(P39:P40)</f>
        <v>6430214</v>
      </c>
      <c r="Q41" s="361"/>
      <c r="R41" s="378">
        <f>SUM(R39:R40)</f>
        <v>6277837</v>
      </c>
      <c r="S41" s="367"/>
      <c r="U41" s="137"/>
    </row>
    <row r="42" spans="1:21" ht="24" customHeight="1" thickTop="1">
      <c r="A42" s="349" t="s">
        <v>855</v>
      </c>
      <c r="D42" s="372">
        <v>15600</v>
      </c>
      <c r="E42" s="372"/>
      <c r="F42" s="372">
        <v>18179</v>
      </c>
      <c r="G42" s="372"/>
      <c r="H42" s="372">
        <v>195029</v>
      </c>
      <c r="I42" s="372"/>
      <c r="J42" s="372">
        <v>220966</v>
      </c>
      <c r="K42" s="372"/>
      <c r="L42" s="372">
        <v>0</v>
      </c>
      <c r="M42" s="372"/>
      <c r="N42" s="372">
        <v>0</v>
      </c>
      <c r="O42" s="361"/>
      <c r="P42" s="363">
        <f>D42+H42+L42</f>
        <v>210629</v>
      </c>
      <c r="Q42" s="361"/>
      <c r="R42" s="363">
        <f>F42+J42+N42</f>
        <v>239145</v>
      </c>
      <c r="U42" s="137"/>
    </row>
    <row r="43" spans="1:21" ht="24" customHeight="1">
      <c r="A43" s="349" t="s">
        <v>856</v>
      </c>
      <c r="D43" s="379"/>
      <c r="E43" s="379"/>
      <c r="F43" s="379"/>
      <c r="G43" s="379"/>
      <c r="H43" s="379"/>
      <c r="I43" s="379"/>
      <c r="J43" s="379"/>
      <c r="K43" s="379"/>
      <c r="L43" s="379"/>
      <c r="M43" s="379"/>
      <c r="N43" s="379"/>
      <c r="O43" s="379"/>
      <c r="P43" s="380">
        <v>1025335</v>
      </c>
      <c r="Q43" s="381"/>
      <c r="R43" s="380">
        <v>1480745</v>
      </c>
      <c r="U43" s="137"/>
    </row>
    <row r="44" spans="1:21" ht="24" customHeight="1" thickBot="1">
      <c r="A44" s="349" t="s">
        <v>857</v>
      </c>
      <c r="D44" s="379"/>
      <c r="E44" s="379"/>
      <c r="F44" s="379"/>
      <c r="G44" s="379"/>
      <c r="H44" s="379"/>
      <c r="I44" s="379"/>
      <c r="J44" s="379"/>
      <c r="K44" s="379"/>
      <c r="L44" s="379"/>
      <c r="M44" s="379"/>
      <c r="N44" s="379"/>
      <c r="O44" s="379"/>
      <c r="P44" s="382">
        <f>SUM(P42:P43)</f>
        <v>1235964</v>
      </c>
      <c r="Q44" s="383"/>
      <c r="R44" s="382">
        <f>SUM(R42:R43)</f>
        <v>1719890</v>
      </c>
      <c r="U44" s="137"/>
    </row>
    <row r="45" ht="24.75" customHeight="1" thickTop="1"/>
  </sheetData>
  <sheetProtection/>
  <mergeCells count="2">
    <mergeCell ref="A1:R1"/>
    <mergeCell ref="A23:R23"/>
  </mergeCells>
  <printOptions horizontalCentered="1"/>
  <pageMargins left="0.61" right="0.15748031496062992" top="0.5" bottom="0.45" header="0.18" footer="0.15748031496062992"/>
  <pageSetup horizontalDpi="600" verticalDpi="600" orientation="landscape" paperSize="9" r:id="rId1"/>
  <rowBreaks count="1" manualBreakCount="1">
    <brk id="22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L71"/>
  <sheetViews>
    <sheetView zoomScaleSheetLayoutView="90" zoomScalePageLayoutView="0" workbookViewId="0" topLeftCell="A31">
      <selection activeCell="A36" sqref="A36:IV36"/>
    </sheetView>
  </sheetViews>
  <sheetFormatPr defaultColWidth="9.140625" defaultRowHeight="24.75" customHeight="1"/>
  <cols>
    <col min="1" max="1" width="7.7109375" style="14" customWidth="1"/>
    <col min="2" max="2" width="9.140625" style="14" customWidth="1"/>
    <col min="3" max="3" width="18.00390625" style="14" customWidth="1"/>
    <col min="4" max="4" width="16.57421875" style="14" customWidth="1"/>
    <col min="5" max="5" width="0.9921875" style="14" customWidth="1"/>
    <col min="6" max="6" width="16.57421875" style="14" customWidth="1"/>
    <col min="7" max="7" width="0.85546875" style="14" customWidth="1"/>
    <col min="8" max="8" width="16.57421875" style="14" customWidth="1"/>
    <col min="9" max="9" width="0.9921875" style="14" customWidth="1"/>
    <col min="10" max="10" width="16.57421875" style="14" customWidth="1"/>
    <col min="11" max="11" width="2.28125" style="14" customWidth="1"/>
    <col min="12" max="16384" width="9.140625" style="14" customWidth="1"/>
  </cols>
  <sheetData>
    <row r="1" spans="1:10" ht="22.5" customHeight="1">
      <c r="A1" s="674" t="s">
        <v>1273</v>
      </c>
      <c r="B1" s="674"/>
      <c r="C1" s="674"/>
      <c r="D1" s="674"/>
      <c r="E1" s="674"/>
      <c r="F1" s="674"/>
      <c r="G1" s="674"/>
      <c r="H1" s="674"/>
      <c r="I1" s="674"/>
      <c r="J1" s="674"/>
    </row>
    <row r="2" spans="1:10" ht="22.5" customHeight="1">
      <c r="A2" s="384"/>
      <c r="B2" s="384"/>
      <c r="C2" s="384"/>
      <c r="D2" s="384"/>
      <c r="E2" s="384"/>
      <c r="F2" s="384"/>
      <c r="G2" s="384"/>
      <c r="H2" s="384"/>
      <c r="I2" s="384"/>
      <c r="J2" s="384"/>
    </row>
    <row r="3" ht="22.5" customHeight="1">
      <c r="A3" s="385" t="s">
        <v>1225</v>
      </c>
    </row>
    <row r="4" spans="1:2" ht="22.5" customHeight="1">
      <c r="A4" s="14" t="s">
        <v>859</v>
      </c>
      <c r="B4" s="14" t="s">
        <v>860</v>
      </c>
    </row>
    <row r="5" ht="22.5" customHeight="1">
      <c r="A5" s="14" t="s">
        <v>835</v>
      </c>
    </row>
    <row r="6" ht="22.5" customHeight="1">
      <c r="A6" s="14" t="s">
        <v>861</v>
      </c>
    </row>
    <row r="7" ht="22.5" customHeight="1">
      <c r="B7" s="14" t="s">
        <v>1191</v>
      </c>
    </row>
    <row r="8" spans="4:11" ht="22.5" customHeight="1">
      <c r="D8" s="386"/>
      <c r="E8" s="386"/>
      <c r="F8" s="386"/>
      <c r="G8" s="19"/>
      <c r="H8" s="386"/>
      <c r="I8" s="19"/>
      <c r="J8" s="387" t="s">
        <v>592</v>
      </c>
      <c r="K8" s="19"/>
    </row>
    <row r="9" spans="4:11" ht="22.5" customHeight="1">
      <c r="D9" s="633" t="s">
        <v>862</v>
      </c>
      <c r="E9" s="633"/>
      <c r="F9" s="633"/>
      <c r="G9" s="19"/>
      <c r="H9" s="633" t="s">
        <v>863</v>
      </c>
      <c r="I9" s="633"/>
      <c r="J9" s="633"/>
      <c r="K9" s="19"/>
    </row>
    <row r="10" spans="4:11" ht="22.5" customHeight="1">
      <c r="D10" s="632" t="s">
        <v>514</v>
      </c>
      <c r="E10" s="632"/>
      <c r="F10" s="632"/>
      <c r="G10" s="19"/>
      <c r="H10" s="632" t="s">
        <v>864</v>
      </c>
      <c r="I10" s="632"/>
      <c r="J10" s="632"/>
      <c r="K10" s="19"/>
    </row>
    <row r="11" spans="4:11" ht="22.5" customHeight="1">
      <c r="D11" s="388" t="s">
        <v>236</v>
      </c>
      <c r="E11" s="389"/>
      <c r="F11" s="388" t="s">
        <v>141</v>
      </c>
      <c r="G11" s="19"/>
      <c r="H11" s="388" t="s">
        <v>236</v>
      </c>
      <c r="I11" s="389"/>
      <c r="J11" s="388" t="s">
        <v>141</v>
      </c>
      <c r="K11" s="19"/>
    </row>
    <row r="12" ht="22.5" customHeight="1">
      <c r="A12" s="385" t="s">
        <v>865</v>
      </c>
    </row>
    <row r="13" spans="2:10" ht="22.5" customHeight="1">
      <c r="B13" s="14" t="s">
        <v>866</v>
      </c>
      <c r="D13" s="580">
        <f>148124648.61+10718.88+19458673.84</f>
        <v>167594041.33</v>
      </c>
      <c r="E13" s="581"/>
      <c r="F13" s="581">
        <f>113621478.11+17275972.37</f>
        <v>130897450.48</v>
      </c>
      <c r="G13" s="581"/>
      <c r="H13" s="580">
        <f>148135367.49+19458673.84</f>
        <v>167594041.33</v>
      </c>
      <c r="I13" s="581"/>
      <c r="J13" s="581">
        <f>113621478.11+17275972.37</f>
        <v>130897450.48</v>
      </c>
    </row>
    <row r="14" spans="2:10" ht="22.5" customHeight="1">
      <c r="B14" s="14" t="s">
        <v>867</v>
      </c>
      <c r="D14" s="580">
        <v>5000000</v>
      </c>
      <c r="E14" s="581"/>
      <c r="F14" s="581">
        <v>5000000</v>
      </c>
      <c r="G14" s="581"/>
      <c r="H14" s="580">
        <v>5000000</v>
      </c>
      <c r="I14" s="581"/>
      <c r="J14" s="582">
        <v>5000000</v>
      </c>
    </row>
    <row r="15" spans="2:10" ht="22.5" customHeight="1">
      <c r="B15" s="14" t="s">
        <v>868</v>
      </c>
      <c r="D15" s="580">
        <v>5008495.16</v>
      </c>
      <c r="E15" s="581"/>
      <c r="F15" s="581">
        <v>3960677.16</v>
      </c>
      <c r="G15" s="581"/>
      <c r="H15" s="580">
        <v>5008495.16</v>
      </c>
      <c r="I15" s="581"/>
      <c r="J15" s="582">
        <v>3960677.16</v>
      </c>
    </row>
    <row r="16" spans="2:10" ht="22.5" customHeight="1">
      <c r="B16" s="14" t="s">
        <v>869</v>
      </c>
      <c r="D16" s="324"/>
      <c r="E16" s="324"/>
      <c r="F16" s="324"/>
      <c r="G16" s="324"/>
      <c r="H16" s="324"/>
      <c r="I16" s="324"/>
      <c r="J16" s="324"/>
    </row>
    <row r="17" spans="2:10" ht="22.5" customHeight="1">
      <c r="B17" s="14" t="s">
        <v>870</v>
      </c>
      <c r="D17" s="580">
        <f>129551166.51+747421.1</f>
        <v>130298587.61</v>
      </c>
      <c r="E17" s="581"/>
      <c r="F17" s="581">
        <f>108577293.75+797945</f>
        <v>109375238.75</v>
      </c>
      <c r="G17" s="581"/>
      <c r="H17" s="580">
        <f>129551166.51+747421.1</f>
        <v>130298587.61</v>
      </c>
      <c r="I17" s="581"/>
      <c r="J17" s="581">
        <f>108577293.75+797945</f>
        <v>109375238.75</v>
      </c>
    </row>
    <row r="18" spans="2:10" ht="22.5" customHeight="1">
      <c r="B18" s="14" t="s">
        <v>828</v>
      </c>
      <c r="D18" s="580">
        <v>8235616.43</v>
      </c>
      <c r="E18" s="581"/>
      <c r="F18" s="581">
        <v>8260273.98</v>
      </c>
      <c r="G18" s="581"/>
      <c r="H18" s="580">
        <v>8235616.43</v>
      </c>
      <c r="I18" s="581"/>
      <c r="J18" s="582">
        <v>8260273.98</v>
      </c>
    </row>
    <row r="19" spans="2:10" ht="22.5" customHeight="1">
      <c r="B19" s="14" t="s">
        <v>871</v>
      </c>
      <c r="D19" s="580">
        <v>200000000</v>
      </c>
      <c r="E19" s="581"/>
      <c r="F19" s="581">
        <v>200000000</v>
      </c>
      <c r="G19" s="581"/>
      <c r="H19" s="580">
        <v>200000000</v>
      </c>
      <c r="I19" s="581"/>
      <c r="J19" s="582">
        <v>200000000</v>
      </c>
    </row>
    <row r="20" spans="1:10" ht="22.5" customHeight="1">
      <c r="A20" s="385" t="s">
        <v>872</v>
      </c>
      <c r="D20" s="583"/>
      <c r="E20" s="583"/>
      <c r="F20" s="583"/>
      <c r="G20" s="584"/>
      <c r="H20" s="583"/>
      <c r="I20" s="583"/>
      <c r="J20" s="583"/>
    </row>
    <row r="21" spans="2:11" ht="22.5" customHeight="1">
      <c r="B21" s="14" t="s">
        <v>873</v>
      </c>
      <c r="D21" s="585">
        <v>1353380.2</v>
      </c>
      <c r="E21" s="582"/>
      <c r="F21" s="582">
        <f>1842190.62+775199.16</f>
        <v>2617389.7800000003</v>
      </c>
      <c r="G21" s="581"/>
      <c r="H21" s="585">
        <v>1353380.2</v>
      </c>
      <c r="I21" s="582"/>
      <c r="J21" s="582">
        <f>1842190.62+775199.16</f>
        <v>2617389.7800000003</v>
      </c>
      <c r="K21" s="158"/>
    </row>
    <row r="22" spans="2:11" ht="22.5" customHeight="1">
      <c r="B22" s="14" t="s">
        <v>874</v>
      </c>
      <c r="D22" s="585">
        <f>811707338.42+214846124.54+6497516.89</f>
        <v>1033050979.8499999</v>
      </c>
      <c r="E22" s="582"/>
      <c r="F22" s="582">
        <f>785956688.02+224930835.06+5839641.12</f>
        <v>1016727164.1999999</v>
      </c>
      <c r="G22" s="581"/>
      <c r="H22" s="585">
        <f>811707338.42+214846124.54+6497516.89</f>
        <v>1033050979.8499999</v>
      </c>
      <c r="I22" s="582"/>
      <c r="J22" s="582">
        <f>785956688.02+224930835.06+5839641.12</f>
        <v>1016727164.1999999</v>
      </c>
      <c r="K22" s="158"/>
    </row>
    <row r="23" spans="2:11" ht="22.5" customHeight="1">
      <c r="B23" s="14" t="s">
        <v>875</v>
      </c>
      <c r="D23" s="585">
        <f>65645711.39+1433546.19+9812.22+998024.29</f>
        <v>68087094.09</v>
      </c>
      <c r="E23" s="582"/>
      <c r="F23" s="582">
        <f>59026371.19+50823.85+1571731.34+1545081.04</f>
        <v>62194007.42</v>
      </c>
      <c r="G23" s="581"/>
      <c r="H23" s="585">
        <f>65645711.39+1433546.19+9812.22+998024.29</f>
        <v>68087094.09</v>
      </c>
      <c r="I23" s="582"/>
      <c r="J23" s="582">
        <f>59026371.19+50823.85+1571731.34+1545081.04</f>
        <v>62194007.42</v>
      </c>
      <c r="K23" s="158"/>
    </row>
    <row r="24" spans="2:11" ht="22.5" customHeight="1">
      <c r="B24" s="14" t="s">
        <v>876</v>
      </c>
      <c r="D24" s="585">
        <f>25456792.11+916738.05-916738.05+916738.05+1161000</f>
        <v>27534530.16</v>
      </c>
      <c r="E24" s="582"/>
      <c r="F24" s="582">
        <f>28699624.91+675000</f>
        <v>29374624.91</v>
      </c>
      <c r="G24" s="581"/>
      <c r="H24" s="585">
        <f>25456792.11+916738.05-916738.05+916738.05+1161000</f>
        <v>27534530.16</v>
      </c>
      <c r="I24" s="582"/>
      <c r="J24" s="582">
        <f>28699624.91+675000</f>
        <v>29374624.91</v>
      </c>
      <c r="K24" s="158"/>
    </row>
    <row r="25" spans="2:11" ht="22.5" customHeight="1">
      <c r="B25" s="14" t="s">
        <v>877</v>
      </c>
      <c r="D25" s="585">
        <f>43617386.27-89010+6491195.04+294084</f>
        <v>50313655.31</v>
      </c>
      <c r="E25" s="582"/>
      <c r="F25" s="582">
        <f>41433200.53+6311686.62+294080</f>
        <v>48038967.15</v>
      </c>
      <c r="G25" s="581"/>
      <c r="H25" s="585">
        <f>43617386.27-89010+6491195.04+294084</f>
        <v>50313655.31</v>
      </c>
      <c r="I25" s="582"/>
      <c r="J25" s="582">
        <f>41433200.53+6311686.62+294080</f>
        <v>48038967.15</v>
      </c>
      <c r="K25" s="158"/>
    </row>
    <row r="26" spans="2:11" ht="22.5" customHeight="1">
      <c r="B26" s="14" t="s">
        <v>878</v>
      </c>
      <c r="D26" s="585">
        <f>43403455.15+10155333.5+220710</f>
        <v>53779498.65</v>
      </c>
      <c r="E26" s="582"/>
      <c r="F26" s="582">
        <f>45106744.14+9324612.36+168138</f>
        <v>54599494.5</v>
      </c>
      <c r="G26" s="581"/>
      <c r="H26" s="585">
        <f>43403455.15+10155333.5+220710</f>
        <v>53779498.65</v>
      </c>
      <c r="I26" s="582"/>
      <c r="J26" s="582">
        <f>45106744.14+9324612.36+168138</f>
        <v>54599494.5</v>
      </c>
      <c r="K26" s="158"/>
    </row>
    <row r="27" spans="2:11" ht="22.5" customHeight="1">
      <c r="B27" s="14" t="s">
        <v>879</v>
      </c>
      <c r="D27" s="585">
        <v>350000.01</v>
      </c>
      <c r="E27" s="582"/>
      <c r="F27" s="582">
        <v>358438.36</v>
      </c>
      <c r="G27" s="581"/>
      <c r="H27" s="585">
        <v>350000.01</v>
      </c>
      <c r="I27" s="582"/>
      <c r="J27" s="582">
        <v>358438.36</v>
      </c>
      <c r="K27" s="158"/>
    </row>
    <row r="28" spans="2:11" ht="22.5" customHeight="1">
      <c r="B28" s="14" t="s">
        <v>880</v>
      </c>
      <c r="D28" s="585">
        <f>254059878.91+6475200+13911250+90</f>
        <v>274446418.90999997</v>
      </c>
      <c r="E28" s="582"/>
      <c r="F28" s="628">
        <f>203595456.07+20493490</f>
        <v>224088946.07</v>
      </c>
      <c r="G28" s="581"/>
      <c r="H28" s="585">
        <f>591713574.89+6475200+13911250+90</f>
        <v>612100114.89</v>
      </c>
      <c r="I28" s="582"/>
      <c r="J28" s="628">
        <f>490902918.75+20493490</f>
        <v>511396408.75</v>
      </c>
      <c r="K28" s="158"/>
    </row>
    <row r="29" spans="2:11" ht="22.5" customHeight="1">
      <c r="B29" s="14" t="s">
        <v>881</v>
      </c>
      <c r="D29" s="585">
        <f>18464628.37+112930.4+15862+14808+555546.36+870893+99967+246344.71+12472.2+42000</f>
        <v>20435452.04</v>
      </c>
      <c r="E29" s="582"/>
      <c r="F29" s="582">
        <f>16795198.68-10000+1238260.68+17826.89+42000</f>
        <v>18083286.25</v>
      </c>
      <c r="G29" s="581"/>
      <c r="H29" s="585">
        <f>18464628.37+112930.4+15862+14808+555546.36+870893+99967+246344.71+42000+12472.2</f>
        <v>20435452.04</v>
      </c>
      <c r="I29" s="582"/>
      <c r="J29" s="582">
        <f>16795198.68-10000+1238260.68+17826.89+42000</f>
        <v>18083286.25</v>
      </c>
      <c r="K29" s="158"/>
    </row>
    <row r="30" spans="2:11" ht="22.5" customHeight="1">
      <c r="B30" s="14" t="s">
        <v>882</v>
      </c>
      <c r="D30" s="585">
        <f>15251168.16+2536398.8+107491.2</f>
        <v>17895058.16</v>
      </c>
      <c r="E30" s="582"/>
      <c r="F30" s="582">
        <f>14897540.91+2097830.93+89673.6</f>
        <v>17085045.44</v>
      </c>
      <c r="G30" s="581"/>
      <c r="H30" s="585">
        <f>15251168.16+2536398.8+107491.2</f>
        <v>17895058.16</v>
      </c>
      <c r="I30" s="582"/>
      <c r="J30" s="582">
        <f>14897540.91+2097830.93+89673.6</f>
        <v>17085045.44</v>
      </c>
      <c r="K30" s="158"/>
    </row>
    <row r="31" spans="2:11" ht="22.5" customHeight="1">
      <c r="B31" s="14" t="s">
        <v>883</v>
      </c>
      <c r="D31" s="585">
        <f>22089420-137700+3342241.45</f>
        <v>25293961.45</v>
      </c>
      <c r="E31" s="582"/>
      <c r="F31" s="582">
        <f>20660680+2629981.59</f>
        <v>23290661.59</v>
      </c>
      <c r="G31" s="581"/>
      <c r="H31" s="585">
        <f>22089420-137700+3342241.45</f>
        <v>25293961.45</v>
      </c>
      <c r="I31" s="582"/>
      <c r="J31" s="582">
        <f>20660680+2629981.59</f>
        <v>23290661.59</v>
      </c>
      <c r="K31" s="158"/>
    </row>
    <row r="32" spans="2:11" ht="22.5" customHeight="1">
      <c r="B32" s="14" t="s">
        <v>884</v>
      </c>
      <c r="D32" s="585">
        <f>29127520.31+4016380.95+36000</f>
        <v>33179901.259999998</v>
      </c>
      <c r="E32" s="582"/>
      <c r="F32" s="582">
        <f>22845836.92-10000+10000+3372591.16+36000</f>
        <v>26254428.080000002</v>
      </c>
      <c r="G32" s="581"/>
      <c r="H32" s="585">
        <f>29127520.31+4016380.95+36000</f>
        <v>33179901.259999998</v>
      </c>
      <c r="I32" s="582"/>
      <c r="J32" s="582">
        <f>22845836.92-10000+10000+3372591.16+36000</f>
        <v>26254428.080000002</v>
      </c>
      <c r="K32" s="158"/>
    </row>
    <row r="33" spans="2:10" ht="22.5" customHeight="1">
      <c r="B33" s="14" t="s">
        <v>893</v>
      </c>
      <c r="D33" s="324"/>
      <c r="E33" s="581"/>
      <c r="F33" s="581"/>
      <c r="G33" s="581"/>
      <c r="H33" s="324"/>
      <c r="I33" s="581"/>
      <c r="J33" s="581"/>
    </row>
    <row r="34" spans="2:10" ht="22.5" customHeight="1">
      <c r="B34" s="14" t="s">
        <v>894</v>
      </c>
      <c r="D34" s="585">
        <v>147605300</v>
      </c>
      <c r="E34" s="582"/>
      <c r="F34" s="582">
        <f>36133800+20260000</f>
        <v>56393800</v>
      </c>
      <c r="G34" s="581"/>
      <c r="H34" s="585">
        <v>147605300</v>
      </c>
      <c r="I34" s="582"/>
      <c r="J34" s="582">
        <f>36133800+20260000</f>
        <v>56393800</v>
      </c>
    </row>
    <row r="35" spans="4:10" ht="22.5" customHeight="1">
      <c r="D35" s="585"/>
      <c r="E35" s="582"/>
      <c r="F35" s="582"/>
      <c r="G35" s="581"/>
      <c r="H35" s="585"/>
      <c r="I35" s="582"/>
      <c r="J35" s="582"/>
    </row>
    <row r="36" spans="4:10" ht="22.5" customHeight="1">
      <c r="D36" s="585"/>
      <c r="E36" s="582"/>
      <c r="F36" s="582"/>
      <c r="G36" s="581"/>
      <c r="H36" s="585"/>
      <c r="I36" s="582"/>
      <c r="J36" s="582"/>
    </row>
    <row r="37" spans="1:10" ht="22.5" customHeight="1">
      <c r="A37" s="674" t="s">
        <v>483</v>
      </c>
      <c r="B37" s="674"/>
      <c r="C37" s="674"/>
      <c r="D37" s="674"/>
      <c r="E37" s="674"/>
      <c r="F37" s="674"/>
      <c r="G37" s="674"/>
      <c r="H37" s="674"/>
      <c r="I37" s="674"/>
      <c r="J37" s="674"/>
    </row>
    <row r="38" spans="1:10" ht="22.5" customHeight="1">
      <c r="A38" s="190"/>
      <c r="B38" s="190"/>
      <c r="C38" s="190"/>
      <c r="D38" s="190"/>
      <c r="E38" s="190"/>
      <c r="F38" s="190"/>
      <c r="G38" s="190"/>
      <c r="H38" s="190"/>
      <c r="I38" s="190"/>
      <c r="J38" s="190"/>
    </row>
    <row r="39" spans="1:6" ht="22.5" customHeight="1">
      <c r="A39" s="385" t="s">
        <v>1226</v>
      </c>
      <c r="D39" s="392"/>
      <c r="E39" s="392"/>
      <c r="F39" s="392"/>
    </row>
    <row r="40" spans="1:6" ht="22.5" customHeight="1">
      <c r="A40" s="385"/>
      <c r="B40" s="14" t="s">
        <v>1192</v>
      </c>
      <c r="D40" s="392"/>
      <c r="E40" s="392"/>
      <c r="F40" s="392"/>
    </row>
    <row r="41" spans="1:10" ht="22.5" customHeight="1">
      <c r="A41" s="14" t="s">
        <v>1227</v>
      </c>
      <c r="D41" s="392"/>
      <c r="E41" s="392"/>
      <c r="F41" s="392"/>
      <c r="H41" s="24"/>
      <c r="J41" s="24"/>
    </row>
    <row r="42" spans="1:8" ht="22.5" customHeight="1">
      <c r="A42" s="14" t="s">
        <v>1228</v>
      </c>
      <c r="D42" s="392"/>
      <c r="E42" s="392"/>
      <c r="F42" s="392"/>
      <c r="H42" s="24"/>
    </row>
    <row r="43" spans="1:8" ht="22.5" customHeight="1">
      <c r="A43" s="14" t="s">
        <v>895</v>
      </c>
      <c r="D43" s="392"/>
      <c r="E43" s="392"/>
      <c r="F43" s="392"/>
      <c r="H43" s="24"/>
    </row>
    <row r="44" spans="4:11" ht="22.5" customHeight="1">
      <c r="D44" s="386"/>
      <c r="E44" s="386"/>
      <c r="F44" s="386"/>
      <c r="G44" s="19"/>
      <c r="H44" s="386"/>
      <c r="I44" s="19"/>
      <c r="J44" s="387" t="s">
        <v>592</v>
      </c>
      <c r="K44" s="19"/>
    </row>
    <row r="45" spans="4:11" ht="22.5" customHeight="1">
      <c r="D45" s="633" t="s">
        <v>862</v>
      </c>
      <c r="E45" s="633"/>
      <c r="F45" s="633"/>
      <c r="G45" s="19"/>
      <c r="H45" s="633" t="s">
        <v>863</v>
      </c>
      <c r="I45" s="633"/>
      <c r="J45" s="633"/>
      <c r="K45" s="19"/>
    </row>
    <row r="46" spans="4:11" ht="22.5" customHeight="1">
      <c r="D46" s="632" t="s">
        <v>514</v>
      </c>
      <c r="E46" s="632"/>
      <c r="F46" s="632"/>
      <c r="G46" s="19"/>
      <c r="H46" s="632" t="s">
        <v>864</v>
      </c>
      <c r="I46" s="632"/>
      <c r="J46" s="632"/>
      <c r="K46" s="19"/>
    </row>
    <row r="47" spans="4:11" ht="22.5" customHeight="1">
      <c r="D47" s="388" t="s">
        <v>236</v>
      </c>
      <c r="E47" s="389"/>
      <c r="F47" s="388" t="s">
        <v>141</v>
      </c>
      <c r="G47" s="19"/>
      <c r="H47" s="388" t="s">
        <v>236</v>
      </c>
      <c r="I47" s="389"/>
      <c r="J47" s="388" t="s">
        <v>141</v>
      </c>
      <c r="K47" s="19"/>
    </row>
    <row r="48" spans="1:10" ht="22.5" customHeight="1">
      <c r="A48" s="385" t="s">
        <v>896</v>
      </c>
      <c r="B48" s="9"/>
      <c r="C48" s="9"/>
      <c r="D48" s="33"/>
      <c r="E48" s="33"/>
      <c r="F48" s="33"/>
      <c r="G48" s="390"/>
      <c r="H48" s="33"/>
      <c r="I48" s="33"/>
      <c r="J48" s="33"/>
    </row>
    <row r="49" spans="2:10" s="290" customFormat="1" ht="22.5" customHeight="1">
      <c r="B49" s="290" t="s">
        <v>897</v>
      </c>
      <c r="D49" s="455">
        <v>1215421252.5</v>
      </c>
      <c r="E49" s="481"/>
      <c r="F49" s="455">
        <v>1245758732.19</v>
      </c>
      <c r="G49" s="402"/>
      <c r="H49" s="455">
        <v>1215421252.5</v>
      </c>
      <c r="I49" s="481"/>
      <c r="J49" s="455">
        <v>1245758732.19</v>
      </c>
    </row>
    <row r="50" spans="2:9" s="290" customFormat="1" ht="22.5" customHeight="1">
      <c r="B50" s="290" t="s">
        <v>1196</v>
      </c>
      <c r="D50" s="455"/>
      <c r="E50" s="482"/>
      <c r="G50" s="158"/>
      <c r="H50" s="455"/>
      <c r="I50" s="482"/>
    </row>
    <row r="51" spans="2:10" s="290" customFormat="1" ht="22.5" customHeight="1">
      <c r="B51" s="290" t="s">
        <v>1197</v>
      </c>
      <c r="D51" s="455">
        <v>9260188.51</v>
      </c>
      <c r="E51" s="481"/>
      <c r="F51" s="455">
        <v>8649582.31</v>
      </c>
      <c r="G51" s="402"/>
      <c r="H51" s="455">
        <v>9260188.51</v>
      </c>
      <c r="I51" s="481"/>
      <c r="J51" s="455">
        <v>8649582.31</v>
      </c>
    </row>
    <row r="52" spans="2:10" s="290" customFormat="1" ht="22.5" customHeight="1">
      <c r="B52" s="290" t="s">
        <v>898</v>
      </c>
      <c r="D52" s="455">
        <v>13028042.84</v>
      </c>
      <c r="E52" s="481"/>
      <c r="F52" s="455">
        <v>12445957.05</v>
      </c>
      <c r="G52" s="402"/>
      <c r="H52" s="455">
        <v>13028042.84</v>
      </c>
      <c r="I52" s="481"/>
      <c r="J52" s="455">
        <v>12445957.05</v>
      </c>
    </row>
    <row r="53" spans="2:10" s="290" customFormat="1" ht="22.5" customHeight="1">
      <c r="B53" s="290" t="s">
        <v>899</v>
      </c>
      <c r="D53" s="455">
        <v>9513263</v>
      </c>
      <c r="E53" s="481"/>
      <c r="F53" s="455">
        <v>8186356.9</v>
      </c>
      <c r="G53" s="402"/>
      <c r="H53" s="455">
        <v>9513263</v>
      </c>
      <c r="I53" s="481"/>
      <c r="J53" s="455">
        <v>8186356.9</v>
      </c>
    </row>
    <row r="54" spans="2:10" s="290" customFormat="1" ht="22.5" customHeight="1">
      <c r="B54" s="290" t="s">
        <v>1198</v>
      </c>
      <c r="D54" s="455">
        <v>27503916.23</v>
      </c>
      <c r="E54" s="481"/>
      <c r="F54" s="455">
        <v>29144335.79</v>
      </c>
      <c r="G54" s="402"/>
      <c r="H54" s="455">
        <v>27503916.23</v>
      </c>
      <c r="I54" s="481"/>
      <c r="J54" s="455">
        <v>29144335.79</v>
      </c>
    </row>
    <row r="55" spans="2:10" s="290" customFormat="1" ht="22.5" customHeight="1">
      <c r="B55" s="290" t="s">
        <v>900</v>
      </c>
      <c r="D55" s="455">
        <v>15448783</v>
      </c>
      <c r="E55" s="481"/>
      <c r="F55" s="455">
        <v>16588572</v>
      </c>
      <c r="G55" s="402"/>
      <c r="H55" s="455">
        <v>15448783</v>
      </c>
      <c r="I55" s="481"/>
      <c r="J55" s="455">
        <v>16588572</v>
      </c>
    </row>
    <row r="56" spans="2:10" s="290" customFormat="1" ht="22.5" customHeight="1">
      <c r="B56" s="290" t="s">
        <v>901</v>
      </c>
      <c r="D56" s="455">
        <v>6815068.27</v>
      </c>
      <c r="E56" s="481"/>
      <c r="F56" s="455">
        <v>7450240.95</v>
      </c>
      <c r="G56" s="402"/>
      <c r="H56" s="455">
        <v>6815068.27</v>
      </c>
      <c r="I56" s="481"/>
      <c r="J56" s="455">
        <v>7450240.95</v>
      </c>
    </row>
    <row r="57" spans="2:10" s="290" customFormat="1" ht="22.5" customHeight="1">
      <c r="B57" s="290" t="s">
        <v>593</v>
      </c>
      <c r="D57" s="455">
        <v>37062308.98</v>
      </c>
      <c r="E57" s="481"/>
      <c r="F57" s="455">
        <v>42094010.7</v>
      </c>
      <c r="G57" s="402"/>
      <c r="H57" s="455">
        <v>37062308.98</v>
      </c>
      <c r="I57" s="481"/>
      <c r="J57" s="455">
        <v>42094010.7</v>
      </c>
    </row>
    <row r="58" spans="2:10" s="290" customFormat="1" ht="22.5" customHeight="1">
      <c r="B58" s="290" t="s">
        <v>902</v>
      </c>
      <c r="D58" s="455">
        <v>3534397.16</v>
      </c>
      <c r="E58" s="481"/>
      <c r="F58" s="455">
        <v>2444725.3</v>
      </c>
      <c r="G58" s="402"/>
      <c r="H58" s="455">
        <v>3534397.16</v>
      </c>
      <c r="I58" s="481"/>
      <c r="J58" s="455">
        <v>2444725.3</v>
      </c>
    </row>
    <row r="59" spans="2:10" s="290" customFormat="1" ht="22.5" customHeight="1">
      <c r="B59" s="290" t="s">
        <v>903</v>
      </c>
      <c r="D59" s="455">
        <v>70127.8</v>
      </c>
      <c r="E59" s="481"/>
      <c r="F59" s="455">
        <v>315575.1</v>
      </c>
      <c r="G59" s="402"/>
      <c r="H59" s="455">
        <v>70127.8</v>
      </c>
      <c r="I59" s="481"/>
      <c r="J59" s="455">
        <v>315575.1</v>
      </c>
    </row>
    <row r="60" spans="2:10" s="290" customFormat="1" ht="22.5" customHeight="1">
      <c r="B60" s="290" t="s">
        <v>904</v>
      </c>
      <c r="D60" s="455">
        <v>32167529.99</v>
      </c>
      <c r="E60" s="481"/>
      <c r="F60" s="455">
        <v>30386733.93</v>
      </c>
      <c r="G60" s="402"/>
      <c r="H60" s="455">
        <v>32167529.99</v>
      </c>
      <c r="I60" s="481"/>
      <c r="J60" s="455">
        <v>30386733.93</v>
      </c>
    </row>
    <row r="61" spans="2:10" s="290" customFormat="1" ht="22.5" customHeight="1">
      <c r="B61" s="290" t="s">
        <v>905</v>
      </c>
      <c r="D61" s="455">
        <v>8999999.99</v>
      </c>
      <c r="E61" s="481"/>
      <c r="F61" s="455">
        <v>8932191.78</v>
      </c>
      <c r="G61" s="402"/>
      <c r="H61" s="455">
        <v>8999999.99</v>
      </c>
      <c r="I61" s="481"/>
      <c r="J61" s="455">
        <v>8932191.78</v>
      </c>
    </row>
    <row r="62" spans="2:10" s="290" customFormat="1" ht="22.5" customHeight="1">
      <c r="B62" s="290" t="s">
        <v>906</v>
      </c>
      <c r="D62" s="483">
        <v>914223.86</v>
      </c>
      <c r="E62" s="402"/>
      <c r="F62" s="455">
        <v>524921.07</v>
      </c>
      <c r="G62" s="402"/>
      <c r="H62" s="483">
        <v>914223.86</v>
      </c>
      <c r="I62" s="402"/>
      <c r="J62" s="455">
        <v>524921.07</v>
      </c>
    </row>
    <row r="63" spans="2:10" s="290" customFormat="1" ht="22.5" customHeight="1">
      <c r="B63" s="290" t="s">
        <v>1199</v>
      </c>
      <c r="D63" s="455">
        <v>946147.5</v>
      </c>
      <c r="E63" s="402"/>
      <c r="F63" s="483">
        <v>1647196.55</v>
      </c>
      <c r="G63" s="402"/>
      <c r="H63" s="455">
        <v>946147.5</v>
      </c>
      <c r="I63" s="402"/>
      <c r="J63" s="483">
        <v>1647196.55</v>
      </c>
    </row>
    <row r="64" spans="2:10" s="290" customFormat="1" ht="22.5" customHeight="1">
      <c r="B64" s="290" t="s">
        <v>1200</v>
      </c>
      <c r="D64" s="483">
        <v>32253521.47</v>
      </c>
      <c r="E64" s="402"/>
      <c r="F64" s="455">
        <v>9422473.25</v>
      </c>
      <c r="G64" s="402"/>
      <c r="H64" s="483">
        <v>32253521.47</v>
      </c>
      <c r="I64" s="402"/>
      <c r="J64" s="455">
        <v>9422473.25</v>
      </c>
    </row>
    <row r="65" spans="2:10" ht="22.5" customHeight="1">
      <c r="B65" s="14" t="s">
        <v>1100</v>
      </c>
      <c r="D65" s="175"/>
      <c r="E65" s="175"/>
      <c r="F65" s="175"/>
      <c r="G65" s="158"/>
      <c r="H65" s="175"/>
      <c r="I65" s="175"/>
      <c r="J65" s="175"/>
    </row>
    <row r="66" spans="1:10" ht="22.5" customHeight="1">
      <c r="A66" s="14" t="s">
        <v>1101</v>
      </c>
      <c r="D66" s="392"/>
      <c r="E66" s="392"/>
      <c r="F66" s="392"/>
      <c r="H66" s="24"/>
      <c r="J66" s="24"/>
    </row>
    <row r="67" spans="1:8" ht="22.5" customHeight="1">
      <c r="A67" s="14" t="s">
        <v>907</v>
      </c>
      <c r="D67" s="392"/>
      <c r="E67" s="392"/>
      <c r="F67" s="392"/>
      <c r="H67" s="24"/>
    </row>
    <row r="68" spans="1:12" ht="22.5" customHeight="1">
      <c r="A68" s="385" t="s">
        <v>1229</v>
      </c>
      <c r="C68" s="9"/>
      <c r="D68" s="9"/>
      <c r="E68" s="9"/>
      <c r="F68" s="9"/>
      <c r="G68" s="24"/>
      <c r="H68" s="24"/>
      <c r="I68" s="24"/>
      <c r="J68" s="24"/>
      <c r="K68" s="24"/>
      <c r="L68" s="24"/>
    </row>
    <row r="69" spans="2:12" ht="22.5" customHeight="1">
      <c r="B69" s="14" t="s">
        <v>1230</v>
      </c>
      <c r="C69" s="9"/>
      <c r="D69" s="9"/>
      <c r="E69" s="9"/>
      <c r="F69" s="24"/>
      <c r="H69" s="24"/>
      <c r="I69" s="24"/>
      <c r="J69" s="24"/>
      <c r="K69" s="24"/>
      <c r="L69" s="24"/>
    </row>
    <row r="70" spans="1:12" ht="22.5" customHeight="1">
      <c r="A70" s="14" t="s">
        <v>1231</v>
      </c>
      <c r="B70" s="9"/>
      <c r="C70" s="9"/>
      <c r="D70" s="9"/>
      <c r="E70" s="9"/>
      <c r="F70" s="393"/>
      <c r="H70" s="24"/>
      <c r="I70" s="24"/>
      <c r="J70" s="24"/>
      <c r="K70" s="24"/>
      <c r="L70" s="24"/>
    </row>
    <row r="71" spans="1:12" ht="22.5" customHeight="1">
      <c r="A71" s="14" t="s">
        <v>1232</v>
      </c>
      <c r="B71" s="9"/>
      <c r="C71" s="9"/>
      <c r="D71" s="9"/>
      <c r="E71" s="9"/>
      <c r="F71" s="393"/>
      <c r="H71" s="24"/>
      <c r="I71" s="24"/>
      <c r="J71" s="24"/>
      <c r="K71" s="24"/>
      <c r="L71" s="24"/>
    </row>
  </sheetData>
  <sheetProtection/>
  <mergeCells count="10">
    <mergeCell ref="A1:J1"/>
    <mergeCell ref="A37:J37"/>
    <mergeCell ref="D10:F10"/>
    <mergeCell ref="H10:J10"/>
    <mergeCell ref="D46:F46"/>
    <mergeCell ref="H46:J46"/>
    <mergeCell ref="D9:F9"/>
    <mergeCell ref="H9:J9"/>
    <mergeCell ref="D45:F45"/>
    <mergeCell ref="H45:J45"/>
  </mergeCells>
  <printOptions/>
  <pageMargins left="0.56" right="0.26" top="0.63" bottom="0.61" header="0.31" footer="0.3"/>
  <pageSetup horizontalDpi="600" verticalDpi="600" orientation="portrait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4"/>
  </sheetPr>
  <dimension ref="A1:O322"/>
  <sheetViews>
    <sheetView zoomScaleSheetLayoutView="90" zoomScalePageLayoutView="0" workbookViewId="0" topLeftCell="A172">
      <selection activeCell="A254" sqref="A254:IV254"/>
    </sheetView>
  </sheetViews>
  <sheetFormatPr defaultColWidth="9.140625" defaultRowHeight="24.75" customHeight="1"/>
  <cols>
    <col min="1" max="1" width="7.7109375" style="395" customWidth="1"/>
    <col min="2" max="2" width="9.140625" style="395" customWidth="1"/>
    <col min="3" max="3" width="18.00390625" style="395" customWidth="1"/>
    <col min="4" max="4" width="11.28125" style="395" bestFit="1" customWidth="1"/>
    <col min="5" max="5" width="16.00390625" style="395" customWidth="1"/>
    <col min="6" max="6" width="0.9921875" style="395" customWidth="1"/>
    <col min="7" max="7" width="16.00390625" style="395" customWidth="1"/>
    <col min="8" max="8" width="0.85546875" style="395" customWidth="1"/>
    <col min="9" max="9" width="16.00390625" style="395" customWidth="1"/>
    <col min="10" max="10" width="0.9921875" style="395" customWidth="1"/>
    <col min="11" max="11" width="16.00390625" style="395" customWidth="1"/>
    <col min="12" max="12" width="2.28125" style="395" customWidth="1"/>
    <col min="13" max="16384" width="9.140625" style="395" customWidth="1"/>
  </cols>
  <sheetData>
    <row r="1" spans="1:13" ht="23.25" customHeight="1">
      <c r="A1" s="677" t="s">
        <v>891</v>
      </c>
      <c r="B1" s="677"/>
      <c r="C1" s="677"/>
      <c r="D1" s="677"/>
      <c r="E1" s="677"/>
      <c r="F1" s="677"/>
      <c r="G1" s="677"/>
      <c r="H1" s="677"/>
      <c r="I1" s="677"/>
      <c r="J1" s="677"/>
      <c r="K1" s="677"/>
      <c r="L1" s="394"/>
      <c r="M1" s="394"/>
    </row>
    <row r="2" spans="2:13" ht="23.25" customHeight="1">
      <c r="B2" s="547"/>
      <c r="C2" s="547"/>
      <c r="D2" s="547"/>
      <c r="E2" s="547"/>
      <c r="F2" s="547"/>
      <c r="G2" s="548"/>
      <c r="I2" s="394"/>
      <c r="J2" s="394"/>
      <c r="K2" s="394"/>
      <c r="L2" s="394"/>
      <c r="M2" s="394"/>
    </row>
    <row r="3" spans="1:13" s="406" customFormat="1" ht="23.25" customHeight="1">
      <c r="A3" s="549" t="s">
        <v>1233</v>
      </c>
      <c r="B3" s="550"/>
      <c r="C3" s="550"/>
      <c r="D3" s="550"/>
      <c r="E3" s="550"/>
      <c r="F3" s="550"/>
      <c r="G3" s="551"/>
      <c r="I3" s="552"/>
      <c r="J3" s="552"/>
      <c r="K3" s="552"/>
      <c r="L3" s="552"/>
      <c r="M3" s="552"/>
    </row>
    <row r="4" spans="1:13" s="406" customFormat="1" ht="23.25" customHeight="1">
      <c r="A4" s="549"/>
      <c r="B4" s="550"/>
      <c r="C4" s="550"/>
      <c r="D4" s="550"/>
      <c r="E4" s="553"/>
      <c r="F4" s="553"/>
      <c r="G4" s="553"/>
      <c r="H4" s="63"/>
      <c r="I4" s="553"/>
      <c r="J4" s="63"/>
      <c r="K4" s="554" t="s">
        <v>592</v>
      </c>
      <c r="L4" s="552"/>
      <c r="M4" s="552"/>
    </row>
    <row r="5" spans="1:13" s="406" customFormat="1" ht="23.25" customHeight="1">
      <c r="A5" s="549"/>
      <c r="B5" s="550"/>
      <c r="C5" s="550"/>
      <c r="D5" s="550"/>
      <c r="E5" s="676" t="s">
        <v>862</v>
      </c>
      <c r="F5" s="676"/>
      <c r="G5" s="676"/>
      <c r="H5" s="63"/>
      <c r="I5" s="676" t="s">
        <v>863</v>
      </c>
      <c r="J5" s="676"/>
      <c r="K5" s="676"/>
      <c r="L5" s="552"/>
      <c r="M5" s="552"/>
    </row>
    <row r="6" spans="1:13" s="406" customFormat="1" ht="23.25" customHeight="1">
      <c r="A6" s="549"/>
      <c r="B6" s="550"/>
      <c r="C6" s="550"/>
      <c r="D6" s="550"/>
      <c r="E6" s="678" t="s">
        <v>514</v>
      </c>
      <c r="F6" s="678"/>
      <c r="G6" s="678"/>
      <c r="H6" s="63"/>
      <c r="I6" s="678" t="s">
        <v>864</v>
      </c>
      <c r="J6" s="678"/>
      <c r="K6" s="678"/>
      <c r="L6" s="552"/>
      <c r="M6" s="552"/>
    </row>
    <row r="7" spans="1:13" s="406" customFormat="1" ht="23.25" customHeight="1">
      <c r="A7" s="549"/>
      <c r="B7" s="550"/>
      <c r="C7" s="550"/>
      <c r="D7" s="555" t="s">
        <v>349</v>
      </c>
      <c r="E7" s="396" t="s">
        <v>236</v>
      </c>
      <c r="F7" s="397"/>
      <c r="G7" s="396" t="s">
        <v>141</v>
      </c>
      <c r="I7" s="396" t="s">
        <v>236</v>
      </c>
      <c r="J7" s="397"/>
      <c r="K7" s="396" t="s">
        <v>141</v>
      </c>
      <c r="L7" s="552"/>
      <c r="M7" s="552"/>
    </row>
    <row r="8" spans="1:12" s="406" customFormat="1" ht="23.25" customHeight="1">
      <c r="A8" s="556" t="s">
        <v>688</v>
      </c>
      <c r="B8" s="398" t="s">
        <v>355</v>
      </c>
      <c r="D8" s="490" t="s">
        <v>382</v>
      </c>
      <c r="E8" s="404">
        <v>6334116.67</v>
      </c>
      <c r="F8" s="404"/>
      <c r="G8" s="404">
        <v>6180515.65</v>
      </c>
      <c r="H8" s="490"/>
      <c r="I8" s="404">
        <v>6334116.67</v>
      </c>
      <c r="J8" s="404"/>
      <c r="K8" s="404">
        <v>6180515.65</v>
      </c>
      <c r="L8" s="557"/>
    </row>
    <row r="9" spans="1:11" s="406" customFormat="1" ht="23.25" customHeight="1">
      <c r="A9" s="556" t="s">
        <v>689</v>
      </c>
      <c r="B9" s="398" t="s">
        <v>909</v>
      </c>
      <c r="D9" s="490" t="s">
        <v>246</v>
      </c>
      <c r="E9" s="404">
        <v>12553501.38</v>
      </c>
      <c r="F9" s="404"/>
      <c r="G9" s="404">
        <v>10533320.96</v>
      </c>
      <c r="H9" s="490"/>
      <c r="I9" s="404">
        <v>12553501.38</v>
      </c>
      <c r="J9" s="404"/>
      <c r="K9" s="404">
        <v>10533320.96</v>
      </c>
    </row>
    <row r="10" spans="1:11" s="406" customFormat="1" ht="23.25" customHeight="1">
      <c r="A10" s="556" t="s">
        <v>690</v>
      </c>
      <c r="B10" s="398" t="s">
        <v>360</v>
      </c>
      <c r="D10" s="490" t="s">
        <v>246</v>
      </c>
      <c r="E10" s="404">
        <v>402620.34</v>
      </c>
      <c r="F10" s="404"/>
      <c r="G10" s="404">
        <v>516555.62</v>
      </c>
      <c r="H10" s="490"/>
      <c r="I10" s="404">
        <v>402620.34</v>
      </c>
      <c r="J10" s="404"/>
      <c r="K10" s="404">
        <v>516555.62</v>
      </c>
    </row>
    <row r="11" spans="1:4" s="406" customFormat="1" ht="23.25" customHeight="1">
      <c r="A11" s="556" t="s">
        <v>691</v>
      </c>
      <c r="B11" s="406" t="s">
        <v>910</v>
      </c>
      <c r="D11" s="490"/>
    </row>
    <row r="12" spans="2:11" s="406" customFormat="1" ht="23.25" customHeight="1">
      <c r="B12" s="406" t="s">
        <v>911</v>
      </c>
      <c r="D12" s="490" t="s">
        <v>621</v>
      </c>
      <c r="E12" s="406">
        <v>725167.45</v>
      </c>
      <c r="F12" s="404"/>
      <c r="G12" s="404">
        <v>586449.87</v>
      </c>
      <c r="H12" s="490"/>
      <c r="I12" s="404">
        <v>725167.45</v>
      </c>
      <c r="J12" s="404"/>
      <c r="K12" s="404">
        <v>586449.87</v>
      </c>
    </row>
    <row r="13" spans="1:2" s="406" customFormat="1" ht="23.25" customHeight="1">
      <c r="A13" s="556" t="s">
        <v>693</v>
      </c>
      <c r="B13" s="398" t="s">
        <v>912</v>
      </c>
    </row>
    <row r="14" spans="1:11" s="406" customFormat="1" ht="23.25" customHeight="1">
      <c r="A14" s="556"/>
      <c r="B14" s="398" t="s">
        <v>913</v>
      </c>
      <c r="D14" s="490" t="s">
        <v>245</v>
      </c>
      <c r="E14" s="404">
        <v>7037166.15</v>
      </c>
      <c r="F14" s="404"/>
      <c r="G14" s="404">
        <v>18126505</v>
      </c>
      <c r="H14" s="490"/>
      <c r="I14" s="404">
        <v>7037166.15</v>
      </c>
      <c r="J14" s="404"/>
      <c r="K14" s="404">
        <v>18126505</v>
      </c>
    </row>
    <row r="15" spans="1:11" s="406" customFormat="1" ht="23.25" customHeight="1">
      <c r="A15" s="556" t="s">
        <v>695</v>
      </c>
      <c r="B15" s="398" t="s">
        <v>390</v>
      </c>
      <c r="D15" s="490" t="s">
        <v>246</v>
      </c>
      <c r="E15" s="406">
        <v>453918.44</v>
      </c>
      <c r="F15" s="404"/>
      <c r="G15" s="404">
        <v>768322.42</v>
      </c>
      <c r="H15" s="490"/>
      <c r="I15" s="404">
        <v>453918.44</v>
      </c>
      <c r="J15" s="404"/>
      <c r="K15" s="404">
        <v>768322.42</v>
      </c>
    </row>
    <row r="16" spans="1:2" s="406" customFormat="1" ht="23.25" customHeight="1">
      <c r="A16" s="556" t="s">
        <v>696</v>
      </c>
      <c r="B16" s="398" t="s">
        <v>914</v>
      </c>
    </row>
    <row r="17" spans="1:11" s="406" customFormat="1" ht="23.25" customHeight="1">
      <c r="A17" s="556"/>
      <c r="B17" s="398" t="s">
        <v>911</v>
      </c>
      <c r="D17" s="490" t="s">
        <v>382</v>
      </c>
      <c r="E17" s="404">
        <v>3998080.46</v>
      </c>
      <c r="F17" s="404"/>
      <c r="G17" s="404">
        <v>2979816.09</v>
      </c>
      <c r="H17" s="490"/>
      <c r="I17" s="404">
        <v>3998080.46</v>
      </c>
      <c r="J17" s="404"/>
      <c r="K17" s="404">
        <v>2979816.09</v>
      </c>
    </row>
    <row r="18" spans="1:11" s="406" customFormat="1" ht="23.25" customHeight="1">
      <c r="A18" s="556" t="s">
        <v>697</v>
      </c>
      <c r="B18" s="398" t="s">
        <v>915</v>
      </c>
      <c r="E18" s="404"/>
      <c r="F18" s="404"/>
      <c r="G18" s="404"/>
      <c r="H18" s="490"/>
      <c r="I18" s="404"/>
      <c r="J18" s="404"/>
      <c r="K18" s="404"/>
    </row>
    <row r="19" spans="1:11" s="406" customFormat="1" ht="23.25" customHeight="1">
      <c r="A19" s="556"/>
      <c r="B19" s="398" t="s">
        <v>916</v>
      </c>
      <c r="D19" s="490" t="s">
        <v>246</v>
      </c>
      <c r="E19" s="404">
        <v>2604861.02</v>
      </c>
      <c r="F19" s="404"/>
      <c r="G19" s="404">
        <v>2038195.91</v>
      </c>
      <c r="H19" s="490"/>
      <c r="I19" s="404">
        <v>2604861.02</v>
      </c>
      <c r="J19" s="404"/>
      <c r="K19" s="404">
        <v>2038195.91</v>
      </c>
    </row>
    <row r="20" spans="1:11" s="406" customFormat="1" ht="23.25" customHeight="1">
      <c r="A20" s="556" t="s">
        <v>698</v>
      </c>
      <c r="B20" s="398" t="s">
        <v>400</v>
      </c>
      <c r="D20" s="490" t="s">
        <v>246</v>
      </c>
      <c r="E20" s="404">
        <v>729933.48</v>
      </c>
      <c r="F20" s="404"/>
      <c r="G20" s="404">
        <v>741443.01</v>
      </c>
      <c r="H20" s="490"/>
      <c r="I20" s="404">
        <v>729933.48</v>
      </c>
      <c r="J20" s="404"/>
      <c r="K20" s="404">
        <v>741443.01</v>
      </c>
    </row>
    <row r="21" spans="1:11" s="406" customFormat="1" ht="23.25" customHeight="1">
      <c r="A21" s="556" t="s">
        <v>699</v>
      </c>
      <c r="B21" s="398" t="s">
        <v>401</v>
      </c>
      <c r="D21" s="490" t="s">
        <v>245</v>
      </c>
      <c r="E21" s="404">
        <v>1397964.92</v>
      </c>
      <c r="F21" s="404"/>
      <c r="G21" s="404">
        <v>1460164.12</v>
      </c>
      <c r="H21" s="490"/>
      <c r="I21" s="404">
        <v>1397964.92</v>
      </c>
      <c r="J21" s="404"/>
      <c r="K21" s="404">
        <v>1460164.12</v>
      </c>
    </row>
    <row r="22" spans="1:11" s="406" customFormat="1" ht="23.25" customHeight="1">
      <c r="A22" s="556" t="s">
        <v>700</v>
      </c>
      <c r="B22" s="398" t="s">
        <v>403</v>
      </c>
      <c r="D22" s="490" t="s">
        <v>246</v>
      </c>
      <c r="E22" s="404">
        <v>837867.2</v>
      </c>
      <c r="F22" s="404"/>
      <c r="G22" s="404">
        <v>695887.04</v>
      </c>
      <c r="H22" s="490"/>
      <c r="I22" s="404">
        <v>837867.2</v>
      </c>
      <c r="J22" s="404"/>
      <c r="K22" s="404">
        <v>695887.04</v>
      </c>
    </row>
    <row r="23" spans="1:11" s="406" customFormat="1" ht="23.25" customHeight="1">
      <c r="A23" s="556" t="s">
        <v>701</v>
      </c>
      <c r="B23" s="398" t="s">
        <v>917</v>
      </c>
      <c r="D23" s="490" t="s">
        <v>245</v>
      </c>
      <c r="E23" s="404">
        <v>952479.94</v>
      </c>
      <c r="F23" s="404"/>
      <c r="G23" s="404">
        <v>1168287.72</v>
      </c>
      <c r="H23" s="490"/>
      <c r="I23" s="404">
        <v>952479.94</v>
      </c>
      <c r="J23" s="404"/>
      <c r="K23" s="404">
        <v>1168287.72</v>
      </c>
    </row>
    <row r="24" spans="1:11" s="406" customFormat="1" ht="23.25" customHeight="1">
      <c r="A24" s="556" t="s">
        <v>702</v>
      </c>
      <c r="B24" s="406" t="s">
        <v>404</v>
      </c>
      <c r="D24" s="490" t="s">
        <v>245</v>
      </c>
      <c r="E24" s="404">
        <v>925970.24</v>
      </c>
      <c r="F24" s="404"/>
      <c r="G24" s="404">
        <v>1729788.42</v>
      </c>
      <c r="H24" s="490"/>
      <c r="I24" s="404">
        <v>925970.24</v>
      </c>
      <c r="J24" s="404"/>
      <c r="K24" s="404">
        <v>1729788.42</v>
      </c>
    </row>
    <row r="25" spans="1:2" s="406" customFormat="1" ht="23.25" customHeight="1">
      <c r="A25" s="556" t="s">
        <v>703</v>
      </c>
      <c r="B25" s="398" t="s">
        <v>175</v>
      </c>
    </row>
    <row r="26" spans="1:11" s="406" customFormat="1" ht="23.25" customHeight="1">
      <c r="A26" s="556"/>
      <c r="B26" s="398" t="s">
        <v>911</v>
      </c>
      <c r="D26" s="490" t="s">
        <v>246</v>
      </c>
      <c r="E26" s="404">
        <v>1316206.33</v>
      </c>
      <c r="F26" s="404"/>
      <c r="G26" s="404">
        <v>1461443.13</v>
      </c>
      <c r="H26" s="490"/>
      <c r="I26" s="404">
        <v>1316206.33</v>
      </c>
      <c r="J26" s="404"/>
      <c r="K26" s="404">
        <v>1461443.13</v>
      </c>
    </row>
    <row r="27" spans="1:2" s="406" customFormat="1" ht="23.25" customHeight="1">
      <c r="A27" s="556" t="s">
        <v>704</v>
      </c>
      <c r="B27" s="398" t="s">
        <v>918</v>
      </c>
    </row>
    <row r="28" spans="1:11" s="406" customFormat="1" ht="23.25" customHeight="1">
      <c r="A28" s="556"/>
      <c r="B28" s="398" t="s">
        <v>911</v>
      </c>
      <c r="D28" s="490" t="s">
        <v>382</v>
      </c>
      <c r="E28" s="404">
        <v>10964296.62</v>
      </c>
      <c r="F28" s="404"/>
      <c r="G28" s="404">
        <v>8266453.16</v>
      </c>
      <c r="H28" s="490"/>
      <c r="I28" s="404">
        <v>10964296.62</v>
      </c>
      <c r="J28" s="404"/>
      <c r="K28" s="404">
        <v>8266453.16</v>
      </c>
    </row>
    <row r="29" spans="1:11" s="406" customFormat="1" ht="23.25" customHeight="1">
      <c r="A29" s="556" t="s">
        <v>705</v>
      </c>
      <c r="B29" s="398" t="s">
        <v>406</v>
      </c>
      <c r="D29" s="490" t="s">
        <v>382</v>
      </c>
      <c r="E29" s="404">
        <v>5477566.1</v>
      </c>
      <c r="F29" s="404"/>
      <c r="G29" s="404">
        <v>4685667.19</v>
      </c>
      <c r="H29" s="490"/>
      <c r="I29" s="404">
        <v>5477566.1</v>
      </c>
      <c r="J29" s="404"/>
      <c r="K29" s="404">
        <v>4685667.19</v>
      </c>
    </row>
    <row r="30" spans="1:11" s="406" customFormat="1" ht="23.25" customHeight="1">
      <c r="A30" s="556" t="s">
        <v>706</v>
      </c>
      <c r="B30" s="398" t="s">
        <v>516</v>
      </c>
      <c r="D30" s="490"/>
      <c r="E30" s="404"/>
      <c r="F30" s="404"/>
      <c r="G30" s="404"/>
      <c r="H30" s="490"/>
      <c r="I30" s="404"/>
      <c r="J30" s="404"/>
      <c r="K30" s="404"/>
    </row>
    <row r="31" spans="1:11" s="406" customFormat="1" ht="23.25" customHeight="1">
      <c r="A31" s="556"/>
      <c r="B31" s="398" t="s">
        <v>829</v>
      </c>
      <c r="D31" s="490"/>
      <c r="E31" s="404"/>
      <c r="F31" s="404"/>
      <c r="G31" s="404"/>
      <c r="H31" s="490"/>
      <c r="I31" s="404"/>
      <c r="J31" s="404"/>
      <c r="K31" s="404"/>
    </row>
    <row r="32" spans="2:11" s="406" customFormat="1" ht="23.25" customHeight="1">
      <c r="B32" s="398" t="s">
        <v>911</v>
      </c>
      <c r="D32" s="490" t="s">
        <v>246</v>
      </c>
      <c r="E32" s="404">
        <v>869394.84</v>
      </c>
      <c r="F32" s="404"/>
      <c r="G32" s="404">
        <v>715980</v>
      </c>
      <c r="H32" s="490"/>
      <c r="I32" s="404">
        <v>869394.84</v>
      </c>
      <c r="J32" s="404"/>
      <c r="K32" s="404">
        <v>715980</v>
      </c>
    </row>
    <row r="33" spans="1:2" s="406" customFormat="1" ht="23.25" customHeight="1">
      <c r="A33" s="556" t="s">
        <v>707</v>
      </c>
      <c r="B33" s="398" t="s">
        <v>186</v>
      </c>
    </row>
    <row r="34" spans="2:11" s="406" customFormat="1" ht="23.25" customHeight="1">
      <c r="B34" s="398" t="s">
        <v>911</v>
      </c>
      <c r="D34" s="490" t="s">
        <v>357</v>
      </c>
      <c r="E34" s="404">
        <v>1877444.05</v>
      </c>
      <c r="F34" s="404"/>
      <c r="G34" s="404">
        <v>1599210.55</v>
      </c>
      <c r="H34" s="490"/>
      <c r="I34" s="404">
        <v>1877444.05</v>
      </c>
      <c r="J34" s="404"/>
      <c r="K34" s="404">
        <v>1599210.55</v>
      </c>
    </row>
    <row r="35" spans="1:2" s="406" customFormat="1" ht="23.25" customHeight="1">
      <c r="A35" s="556" t="s">
        <v>708</v>
      </c>
      <c r="B35" s="398" t="s">
        <v>919</v>
      </c>
    </row>
    <row r="36" spans="2:11" s="406" customFormat="1" ht="23.25" customHeight="1">
      <c r="B36" s="398" t="s">
        <v>911</v>
      </c>
      <c r="D36" s="490" t="s">
        <v>246</v>
      </c>
      <c r="E36" s="404">
        <v>722260.7</v>
      </c>
      <c r="F36" s="404"/>
      <c r="G36" s="404">
        <v>1305509.13</v>
      </c>
      <c r="H36" s="490"/>
      <c r="I36" s="404">
        <v>722260.7</v>
      </c>
      <c r="J36" s="404"/>
      <c r="K36" s="404">
        <v>1305509.13</v>
      </c>
    </row>
    <row r="37" spans="2:11" s="406" customFormat="1" ht="23.25" customHeight="1">
      <c r="B37" s="398"/>
      <c r="D37" s="490"/>
      <c r="E37" s="404"/>
      <c r="F37" s="404"/>
      <c r="G37" s="404"/>
      <c r="H37" s="490"/>
      <c r="I37" s="404"/>
      <c r="J37" s="404"/>
      <c r="K37" s="404"/>
    </row>
    <row r="38" spans="1:13" ht="25.5" customHeight="1">
      <c r="A38" s="677" t="s">
        <v>908</v>
      </c>
      <c r="B38" s="677"/>
      <c r="C38" s="677"/>
      <c r="D38" s="677"/>
      <c r="E38" s="677"/>
      <c r="F38" s="677"/>
      <c r="G38" s="677"/>
      <c r="H38" s="677"/>
      <c r="I38" s="677"/>
      <c r="J38" s="677"/>
      <c r="K38" s="677"/>
      <c r="L38" s="394"/>
      <c r="M38" s="394"/>
    </row>
    <row r="39" spans="2:13" ht="25.5" customHeight="1">
      <c r="B39" s="547"/>
      <c r="C39" s="547"/>
      <c r="D39" s="547"/>
      <c r="E39" s="547"/>
      <c r="F39" s="547"/>
      <c r="G39" s="548"/>
      <c r="I39" s="394"/>
      <c r="J39" s="394"/>
      <c r="K39" s="394"/>
      <c r="L39" s="394"/>
      <c r="M39" s="394"/>
    </row>
    <row r="40" spans="1:13" s="406" customFormat="1" ht="25.5" customHeight="1">
      <c r="A40" s="549" t="s">
        <v>1233</v>
      </c>
      <c r="B40" s="550"/>
      <c r="C40" s="550"/>
      <c r="D40" s="550"/>
      <c r="E40" s="550"/>
      <c r="F40" s="550"/>
      <c r="G40" s="551"/>
      <c r="I40" s="552"/>
      <c r="J40" s="552"/>
      <c r="K40" s="552"/>
      <c r="L40" s="552"/>
      <c r="M40" s="552"/>
    </row>
    <row r="41" spans="1:13" s="406" customFormat="1" ht="25.5" customHeight="1">
      <c r="A41" s="549"/>
      <c r="B41" s="550"/>
      <c r="C41" s="550"/>
      <c r="D41" s="550"/>
      <c r="E41" s="553"/>
      <c r="F41" s="553"/>
      <c r="G41" s="553"/>
      <c r="H41" s="63"/>
      <c r="I41" s="553"/>
      <c r="J41" s="63"/>
      <c r="K41" s="554" t="s">
        <v>592</v>
      </c>
      <c r="L41" s="552"/>
      <c r="M41" s="552"/>
    </row>
    <row r="42" spans="1:13" s="406" customFormat="1" ht="25.5" customHeight="1">
      <c r="A42" s="549"/>
      <c r="B42" s="550"/>
      <c r="C42" s="550"/>
      <c r="D42" s="550"/>
      <c r="E42" s="676" t="s">
        <v>862</v>
      </c>
      <c r="F42" s="676"/>
      <c r="G42" s="676"/>
      <c r="H42" s="63"/>
      <c r="I42" s="676" t="s">
        <v>863</v>
      </c>
      <c r="J42" s="676"/>
      <c r="K42" s="676"/>
      <c r="L42" s="552"/>
      <c r="M42" s="552"/>
    </row>
    <row r="43" spans="1:13" s="406" customFormat="1" ht="25.5" customHeight="1">
      <c r="A43" s="549"/>
      <c r="B43" s="550"/>
      <c r="C43" s="550"/>
      <c r="D43" s="550"/>
      <c r="E43" s="678" t="s">
        <v>514</v>
      </c>
      <c r="F43" s="678"/>
      <c r="G43" s="678"/>
      <c r="H43" s="63"/>
      <c r="I43" s="678" t="s">
        <v>864</v>
      </c>
      <c r="J43" s="678"/>
      <c r="K43" s="678"/>
      <c r="L43" s="552"/>
      <c r="M43" s="552"/>
    </row>
    <row r="44" spans="1:13" s="406" customFormat="1" ht="25.5" customHeight="1">
      <c r="A44" s="549"/>
      <c r="B44" s="550"/>
      <c r="C44" s="550"/>
      <c r="D44" s="555" t="s">
        <v>349</v>
      </c>
      <c r="E44" s="396" t="s">
        <v>236</v>
      </c>
      <c r="F44" s="397"/>
      <c r="G44" s="396" t="s">
        <v>141</v>
      </c>
      <c r="I44" s="396" t="s">
        <v>236</v>
      </c>
      <c r="J44" s="397"/>
      <c r="K44" s="396" t="s">
        <v>141</v>
      </c>
      <c r="L44" s="552"/>
      <c r="M44" s="552"/>
    </row>
    <row r="45" spans="1:11" s="406" customFormat="1" ht="25.5" customHeight="1">
      <c r="A45" s="556" t="s">
        <v>709</v>
      </c>
      <c r="B45" s="398" t="s">
        <v>407</v>
      </c>
      <c r="D45" s="490" t="s">
        <v>126</v>
      </c>
      <c r="E45" s="406">
        <v>3399088.36</v>
      </c>
      <c r="F45" s="404"/>
      <c r="G45" s="404">
        <v>4007263.94</v>
      </c>
      <c r="H45" s="490"/>
      <c r="I45" s="406">
        <v>3399088.36</v>
      </c>
      <c r="J45" s="404"/>
      <c r="K45" s="404">
        <v>4007263.94</v>
      </c>
    </row>
    <row r="46" spans="1:11" s="406" customFormat="1" ht="25.5" customHeight="1">
      <c r="A46" s="556" t="s">
        <v>710</v>
      </c>
      <c r="B46" s="398" t="s">
        <v>410</v>
      </c>
      <c r="D46" s="490" t="s">
        <v>382</v>
      </c>
      <c r="E46" s="406">
        <v>10092539.39</v>
      </c>
      <c r="F46" s="404"/>
      <c r="G46" s="404">
        <v>9541244.09</v>
      </c>
      <c r="H46" s="490"/>
      <c r="I46" s="406">
        <v>10092539.39</v>
      </c>
      <c r="J46" s="404"/>
      <c r="K46" s="404">
        <v>9541244.09</v>
      </c>
    </row>
    <row r="47" spans="1:11" s="406" customFormat="1" ht="25.5" customHeight="1">
      <c r="A47" s="556" t="s">
        <v>711</v>
      </c>
      <c r="B47" s="406" t="s">
        <v>921</v>
      </c>
      <c r="D47" s="490" t="s">
        <v>126</v>
      </c>
      <c r="E47" s="406">
        <v>671704.12</v>
      </c>
      <c r="F47" s="404"/>
      <c r="G47" s="404">
        <v>358936.14</v>
      </c>
      <c r="H47" s="490"/>
      <c r="I47" s="406">
        <v>671704.12</v>
      </c>
      <c r="J47" s="404"/>
      <c r="K47" s="404">
        <v>358936.14</v>
      </c>
    </row>
    <row r="48" spans="1:2" s="406" customFormat="1" ht="25.5" customHeight="1">
      <c r="A48" s="556" t="s">
        <v>712</v>
      </c>
      <c r="B48" s="398" t="s">
        <v>191</v>
      </c>
    </row>
    <row r="49" spans="2:11" s="406" customFormat="1" ht="25.5" customHeight="1">
      <c r="B49" s="398" t="s">
        <v>911</v>
      </c>
      <c r="D49" s="490" t="s">
        <v>246</v>
      </c>
      <c r="E49" s="406">
        <v>767818.16</v>
      </c>
      <c r="F49" s="404"/>
      <c r="G49" s="404">
        <v>552495.98</v>
      </c>
      <c r="H49" s="490"/>
      <c r="I49" s="406">
        <v>767818.16</v>
      </c>
      <c r="J49" s="404"/>
      <c r="K49" s="404">
        <v>552495.98</v>
      </c>
    </row>
    <row r="50" spans="1:11" s="406" customFormat="1" ht="25.5" customHeight="1">
      <c r="A50" s="556" t="s">
        <v>713</v>
      </c>
      <c r="B50" s="398" t="s">
        <v>411</v>
      </c>
      <c r="D50" s="490" t="s">
        <v>371</v>
      </c>
      <c r="E50" s="406">
        <v>1238335.38</v>
      </c>
      <c r="F50" s="404"/>
      <c r="G50" s="404">
        <v>586960.28</v>
      </c>
      <c r="H50" s="490"/>
      <c r="I50" s="406">
        <v>1238335.38</v>
      </c>
      <c r="J50" s="404"/>
      <c r="K50" s="404">
        <v>586960.28</v>
      </c>
    </row>
    <row r="51" spans="1:11" s="406" customFormat="1" ht="25.5" customHeight="1">
      <c r="A51" s="556" t="s">
        <v>714</v>
      </c>
      <c r="B51" s="398" t="s">
        <v>107</v>
      </c>
      <c r="D51" s="490" t="s">
        <v>246</v>
      </c>
      <c r="E51" s="406">
        <v>2141228.96</v>
      </c>
      <c r="F51" s="404"/>
      <c r="G51" s="404">
        <v>1445323.75</v>
      </c>
      <c r="H51" s="490"/>
      <c r="I51" s="406">
        <v>2141228.96</v>
      </c>
      <c r="J51" s="404"/>
      <c r="K51" s="404">
        <v>1445323.75</v>
      </c>
    </row>
    <row r="52" spans="1:2" s="406" customFormat="1" ht="25.5" customHeight="1">
      <c r="A52" s="556" t="s">
        <v>715</v>
      </c>
      <c r="B52" s="406" t="s">
        <v>922</v>
      </c>
    </row>
    <row r="53" spans="2:11" s="406" customFormat="1" ht="25.5" customHeight="1">
      <c r="B53" s="398" t="s">
        <v>911</v>
      </c>
      <c r="D53" s="490" t="s">
        <v>371</v>
      </c>
      <c r="E53" s="406">
        <v>708453.23</v>
      </c>
      <c r="F53" s="404"/>
      <c r="G53" s="404">
        <v>645087</v>
      </c>
      <c r="H53" s="490"/>
      <c r="I53" s="406">
        <v>708453.23</v>
      </c>
      <c r="J53" s="404"/>
      <c r="K53" s="404">
        <v>645087</v>
      </c>
    </row>
    <row r="54" spans="1:2" s="406" customFormat="1" ht="25.5" customHeight="1">
      <c r="A54" s="556" t="s">
        <v>716</v>
      </c>
      <c r="B54" s="398" t="s">
        <v>264</v>
      </c>
    </row>
    <row r="55" s="406" customFormat="1" ht="25.5" customHeight="1">
      <c r="B55" s="398" t="s">
        <v>1102</v>
      </c>
    </row>
    <row r="56" spans="2:11" s="406" customFormat="1" ht="25.5" customHeight="1">
      <c r="B56" s="398" t="s">
        <v>923</v>
      </c>
      <c r="D56" s="490" t="s">
        <v>255</v>
      </c>
      <c r="E56" s="406">
        <v>42228660.72</v>
      </c>
      <c r="F56" s="404"/>
      <c r="G56" s="404">
        <v>19700622.09</v>
      </c>
      <c r="H56" s="490"/>
      <c r="I56" s="406">
        <v>42228660.72</v>
      </c>
      <c r="J56" s="404"/>
      <c r="K56" s="404">
        <v>19700622.09</v>
      </c>
    </row>
    <row r="57" spans="1:2" s="406" customFormat="1" ht="25.5" customHeight="1">
      <c r="A57" s="556" t="s">
        <v>717</v>
      </c>
      <c r="B57" s="406" t="s">
        <v>924</v>
      </c>
    </row>
    <row r="58" spans="2:11" s="406" customFormat="1" ht="25.5" customHeight="1">
      <c r="B58" s="398" t="s">
        <v>911</v>
      </c>
      <c r="D58" s="490" t="s">
        <v>371</v>
      </c>
      <c r="E58" s="406">
        <v>13412673.95</v>
      </c>
      <c r="F58" s="399"/>
      <c r="G58" s="399">
        <v>8138304.55</v>
      </c>
      <c r="H58" s="399"/>
      <c r="I58" s="406">
        <v>13412673.95</v>
      </c>
      <c r="J58" s="558">
        <v>5092488.69</v>
      </c>
      <c r="K58" s="558">
        <v>8138304.55</v>
      </c>
    </row>
    <row r="59" spans="1:11" s="406" customFormat="1" ht="25.5" customHeight="1">
      <c r="A59" s="556" t="s">
        <v>718</v>
      </c>
      <c r="B59" s="512" t="s">
        <v>364</v>
      </c>
      <c r="D59" s="490" t="s">
        <v>246</v>
      </c>
      <c r="E59" s="406">
        <v>10074948.94</v>
      </c>
      <c r="F59" s="399"/>
      <c r="G59" s="399">
        <v>171200</v>
      </c>
      <c r="H59" s="399"/>
      <c r="I59" s="406">
        <v>10074948.94</v>
      </c>
      <c r="J59" s="558"/>
      <c r="K59" s="558">
        <v>171200</v>
      </c>
    </row>
    <row r="60" spans="1:11" s="406" customFormat="1" ht="25.5" customHeight="1">
      <c r="A60" s="556" t="s">
        <v>719</v>
      </c>
      <c r="B60" s="505" t="s">
        <v>408</v>
      </c>
      <c r="D60" s="492" t="s">
        <v>382</v>
      </c>
      <c r="E60" s="406">
        <v>514753.8</v>
      </c>
      <c r="F60" s="399"/>
      <c r="G60" s="399">
        <v>407673.3</v>
      </c>
      <c r="H60" s="400"/>
      <c r="I60" s="406">
        <v>514753.8</v>
      </c>
      <c r="J60" s="400"/>
      <c r="K60" s="399">
        <v>407673.3</v>
      </c>
    </row>
    <row r="61" spans="1:11" s="406" customFormat="1" ht="25.5" customHeight="1">
      <c r="A61" s="489" t="s">
        <v>720</v>
      </c>
      <c r="B61" s="403" t="s">
        <v>468</v>
      </c>
      <c r="D61" s="514" t="s">
        <v>129</v>
      </c>
      <c r="E61" s="493">
        <v>510373.78</v>
      </c>
      <c r="F61" s="404"/>
      <c r="G61" s="493">
        <v>856532.5</v>
      </c>
      <c r="H61" s="404"/>
      <c r="I61" s="493">
        <v>510373.78</v>
      </c>
      <c r="J61" s="404"/>
      <c r="K61" s="493">
        <v>856532.5</v>
      </c>
    </row>
    <row r="62" spans="1:11" s="406" customFormat="1" ht="25.5" customHeight="1">
      <c r="A62" s="500" t="s">
        <v>722</v>
      </c>
      <c r="B62" s="501" t="s">
        <v>23</v>
      </c>
      <c r="D62" s="514"/>
      <c r="E62" s="493"/>
      <c r="F62" s="404"/>
      <c r="G62" s="493"/>
      <c r="H62" s="404"/>
      <c r="I62" s="493"/>
      <c r="J62" s="404"/>
      <c r="K62" s="493"/>
    </row>
    <row r="63" spans="1:11" s="406" customFormat="1" ht="25.5" customHeight="1">
      <c r="A63" s="500"/>
      <c r="B63" s="501" t="s">
        <v>24</v>
      </c>
      <c r="D63" s="514" t="s">
        <v>382</v>
      </c>
      <c r="E63" s="493">
        <v>1938994.44</v>
      </c>
      <c r="F63" s="404"/>
      <c r="G63" s="493">
        <v>2030351.35</v>
      </c>
      <c r="H63" s="404"/>
      <c r="I63" s="493">
        <v>1938994.44</v>
      </c>
      <c r="J63" s="404"/>
      <c r="K63" s="493">
        <v>2030351.35</v>
      </c>
    </row>
    <row r="64" spans="1:11" s="406" customFormat="1" ht="25.5" customHeight="1">
      <c r="A64" s="500" t="s">
        <v>723</v>
      </c>
      <c r="B64" s="403" t="s">
        <v>1215</v>
      </c>
      <c r="D64" s="514" t="s">
        <v>382</v>
      </c>
      <c r="E64" s="493">
        <v>628736.24</v>
      </c>
      <c r="F64" s="404"/>
      <c r="G64" s="493">
        <v>592312.65</v>
      </c>
      <c r="H64" s="404"/>
      <c r="I64" s="493">
        <v>628736.24</v>
      </c>
      <c r="J64" s="404"/>
      <c r="K64" s="493">
        <v>592312.65</v>
      </c>
    </row>
    <row r="65" spans="1:11" s="406" customFormat="1" ht="25.5" customHeight="1">
      <c r="A65" s="489" t="s">
        <v>724</v>
      </c>
      <c r="B65" s="513" t="s">
        <v>25</v>
      </c>
      <c r="D65" s="514"/>
      <c r="E65" s="493"/>
      <c r="F65" s="404"/>
      <c r="G65" s="493"/>
      <c r="H65" s="404"/>
      <c r="I65" s="493"/>
      <c r="J65" s="404"/>
      <c r="K65" s="493"/>
    </row>
    <row r="66" spans="1:11" s="406" customFormat="1" ht="25.5" customHeight="1">
      <c r="A66" s="489"/>
      <c r="B66" s="513" t="s">
        <v>26</v>
      </c>
      <c r="D66" s="514" t="s">
        <v>246</v>
      </c>
      <c r="E66" s="493">
        <v>5609943.42</v>
      </c>
      <c r="F66" s="404"/>
      <c r="G66" s="493">
        <v>5025388.66</v>
      </c>
      <c r="H66" s="404"/>
      <c r="I66" s="493">
        <v>5609943.42</v>
      </c>
      <c r="J66" s="404"/>
      <c r="K66" s="493">
        <v>5025388.66</v>
      </c>
    </row>
    <row r="67" spans="1:11" s="406" customFormat="1" ht="25.5" customHeight="1">
      <c r="A67" s="500" t="s">
        <v>726</v>
      </c>
      <c r="B67" s="501" t="s">
        <v>1216</v>
      </c>
      <c r="D67" s="514" t="s">
        <v>245</v>
      </c>
      <c r="E67" s="493">
        <v>2954390.14</v>
      </c>
      <c r="F67" s="404"/>
      <c r="G67" s="493">
        <v>2693706.56</v>
      </c>
      <c r="H67" s="404"/>
      <c r="I67" s="493">
        <v>2954390.14</v>
      </c>
      <c r="J67" s="404"/>
      <c r="K67" s="493">
        <v>2693706.56</v>
      </c>
    </row>
    <row r="68" spans="1:11" s="406" customFormat="1" ht="25.5" customHeight="1">
      <c r="A68" s="500" t="s">
        <v>727</v>
      </c>
      <c r="B68" s="501" t="s">
        <v>27</v>
      </c>
      <c r="D68" s="514" t="s">
        <v>245</v>
      </c>
      <c r="E68" s="493">
        <v>3877306.28</v>
      </c>
      <c r="F68" s="404"/>
      <c r="G68" s="493">
        <v>2700532.69</v>
      </c>
      <c r="H68" s="404"/>
      <c r="I68" s="493">
        <v>3877306.28</v>
      </c>
      <c r="J68" s="404"/>
      <c r="K68" s="493">
        <v>2700532.69</v>
      </c>
    </row>
    <row r="69" spans="1:11" s="406" customFormat="1" ht="25.5" customHeight="1">
      <c r="A69" s="500"/>
      <c r="B69" s="501" t="s">
        <v>28</v>
      </c>
      <c r="D69" s="514"/>
      <c r="E69" s="493"/>
      <c r="F69" s="404"/>
      <c r="G69" s="493"/>
      <c r="H69" s="404"/>
      <c r="I69" s="493"/>
      <c r="J69" s="404"/>
      <c r="K69" s="493"/>
    </row>
    <row r="70" spans="1:11" s="406" customFormat="1" ht="25.5" customHeight="1">
      <c r="A70" s="489" t="s">
        <v>728</v>
      </c>
      <c r="B70" s="501" t="s">
        <v>1217</v>
      </c>
      <c r="D70" s="514" t="s">
        <v>246</v>
      </c>
      <c r="E70" s="493">
        <v>2774014.68</v>
      </c>
      <c r="F70" s="404"/>
      <c r="G70" s="493">
        <v>2095217.02</v>
      </c>
      <c r="H70" s="404"/>
      <c r="I70" s="493">
        <v>2774014.68</v>
      </c>
      <c r="J70" s="404"/>
      <c r="K70" s="493">
        <v>2095217.02</v>
      </c>
    </row>
    <row r="71" spans="1:11" s="406" customFormat="1" ht="25.5" customHeight="1">
      <c r="A71" s="489"/>
      <c r="B71" s="501"/>
      <c r="D71" s="514"/>
      <c r="E71" s="493"/>
      <c r="F71" s="404"/>
      <c r="G71" s="493"/>
      <c r="H71" s="404"/>
      <c r="I71" s="493"/>
      <c r="J71" s="404"/>
      <c r="K71" s="493"/>
    </row>
    <row r="72" spans="1:11" s="406" customFormat="1" ht="26.25" customHeight="1">
      <c r="A72" s="677" t="s">
        <v>920</v>
      </c>
      <c r="B72" s="677"/>
      <c r="C72" s="677"/>
      <c r="D72" s="677"/>
      <c r="E72" s="677"/>
      <c r="F72" s="677"/>
      <c r="G72" s="677"/>
      <c r="H72" s="677"/>
      <c r="I72" s="677"/>
      <c r="J72" s="677"/>
      <c r="K72" s="677"/>
    </row>
    <row r="73" spans="1:11" s="406" customFormat="1" ht="26.25" customHeight="1">
      <c r="A73" s="489"/>
      <c r="B73" s="501"/>
      <c r="D73" s="514"/>
      <c r="E73" s="493"/>
      <c r="F73" s="404"/>
      <c r="G73" s="493"/>
      <c r="H73" s="404"/>
      <c r="I73" s="493"/>
      <c r="J73" s="404"/>
      <c r="K73" s="493"/>
    </row>
    <row r="74" spans="1:11" s="158" customFormat="1" ht="26.25" customHeight="1">
      <c r="A74" s="157" t="s">
        <v>1234</v>
      </c>
      <c r="C74" s="291"/>
      <c r="D74" s="291"/>
      <c r="E74" s="291"/>
      <c r="F74" s="175"/>
      <c r="H74" s="175"/>
      <c r="K74" s="409"/>
    </row>
    <row r="75" spans="2:13" s="158" customFormat="1" ht="26.25" customHeight="1">
      <c r="B75" s="158" t="s">
        <v>1103</v>
      </c>
      <c r="E75" s="291"/>
      <c r="F75" s="291"/>
      <c r="G75" s="291"/>
      <c r="H75" s="175"/>
      <c r="I75" s="175"/>
      <c r="J75" s="175"/>
      <c r="K75" s="175"/>
      <c r="L75" s="175"/>
      <c r="M75" s="175"/>
    </row>
    <row r="76" spans="3:13" s="158" customFormat="1" ht="26.25" customHeight="1">
      <c r="C76" s="291"/>
      <c r="D76" s="550"/>
      <c r="E76" s="553"/>
      <c r="F76" s="553"/>
      <c r="G76" s="553"/>
      <c r="H76" s="63"/>
      <c r="I76" s="553"/>
      <c r="J76" s="63"/>
      <c r="K76" s="554" t="s">
        <v>592</v>
      </c>
      <c r="L76" s="552"/>
      <c r="M76" s="175"/>
    </row>
    <row r="77" spans="3:13" s="158" customFormat="1" ht="26.25" customHeight="1">
      <c r="C77" s="291"/>
      <c r="D77" s="550"/>
      <c r="E77" s="676" t="s">
        <v>862</v>
      </c>
      <c r="F77" s="676"/>
      <c r="G77" s="676"/>
      <c r="H77" s="63"/>
      <c r="I77" s="676" t="s">
        <v>863</v>
      </c>
      <c r="J77" s="676"/>
      <c r="K77" s="676"/>
      <c r="L77" s="552"/>
      <c r="M77" s="175"/>
    </row>
    <row r="78" spans="3:13" s="158" customFormat="1" ht="26.25" customHeight="1">
      <c r="C78" s="291"/>
      <c r="D78" s="550"/>
      <c r="E78" s="678" t="s">
        <v>514</v>
      </c>
      <c r="F78" s="678"/>
      <c r="G78" s="678"/>
      <c r="H78" s="63"/>
      <c r="I78" s="678" t="s">
        <v>864</v>
      </c>
      <c r="J78" s="678"/>
      <c r="K78" s="678"/>
      <c r="L78" s="552"/>
      <c r="M78" s="175"/>
    </row>
    <row r="79" spans="2:13" s="302" customFormat="1" ht="26.25" customHeight="1">
      <c r="B79" s="51"/>
      <c r="C79" s="51"/>
      <c r="D79" s="555" t="s">
        <v>349</v>
      </c>
      <c r="E79" s="396" t="s">
        <v>236</v>
      </c>
      <c r="F79" s="397"/>
      <c r="G79" s="396" t="s">
        <v>141</v>
      </c>
      <c r="H79" s="406"/>
      <c r="I79" s="396" t="s">
        <v>236</v>
      </c>
      <c r="J79" s="397"/>
      <c r="K79" s="396" t="s">
        <v>141</v>
      </c>
      <c r="L79" s="552"/>
      <c r="M79" s="559"/>
    </row>
    <row r="80" spans="2:13" s="302" customFormat="1" ht="26.25" customHeight="1">
      <c r="B80" s="402" t="s">
        <v>368</v>
      </c>
      <c r="C80" s="51"/>
      <c r="D80" s="492" t="s">
        <v>118</v>
      </c>
      <c r="E80" s="493">
        <v>5000000</v>
      </c>
      <c r="F80" s="288"/>
      <c r="G80" s="493">
        <v>5000000</v>
      </c>
      <c r="H80" s="288"/>
      <c r="I80" s="493">
        <v>5000000</v>
      </c>
      <c r="J80" s="288"/>
      <c r="K80" s="493">
        <v>5000000</v>
      </c>
      <c r="L80" s="559"/>
      <c r="M80" s="559"/>
    </row>
    <row r="81" spans="2:13" s="302" customFormat="1" ht="26.25" customHeight="1" thickBot="1">
      <c r="B81" s="51"/>
      <c r="C81" s="51"/>
      <c r="D81" s="51"/>
      <c r="E81" s="560">
        <f>SUM(E80:E80)</f>
        <v>5000000</v>
      </c>
      <c r="F81" s="288"/>
      <c r="G81" s="560">
        <f>SUM(G80:G80)</f>
        <v>5000000</v>
      </c>
      <c r="H81" s="288"/>
      <c r="I81" s="560">
        <f>SUM(I80:I80)</f>
        <v>5000000</v>
      </c>
      <c r="J81" s="288"/>
      <c r="K81" s="560">
        <f>SUM(K80:K80)</f>
        <v>5000000</v>
      </c>
      <c r="L81" s="559"/>
      <c r="M81" s="559"/>
    </row>
    <row r="82" spans="2:13" s="302" customFormat="1" ht="26.25" customHeight="1" thickTop="1">
      <c r="B82" s="51"/>
      <c r="C82" s="51"/>
      <c r="D82" s="51"/>
      <c r="E82" s="561"/>
      <c r="F82" s="288"/>
      <c r="G82" s="561"/>
      <c r="H82" s="288"/>
      <c r="I82" s="561"/>
      <c r="J82" s="288"/>
      <c r="K82" s="561"/>
      <c r="L82" s="559"/>
      <c r="M82" s="559"/>
    </row>
    <row r="83" spans="1:13" s="158" customFormat="1" ht="26.25" customHeight="1">
      <c r="A83" s="407" t="s">
        <v>1235</v>
      </c>
      <c r="B83" s="291"/>
      <c r="E83" s="291"/>
      <c r="F83" s="291"/>
      <c r="G83" s="291"/>
      <c r="H83" s="391"/>
      <c r="I83" s="175"/>
      <c r="J83" s="175"/>
      <c r="K83" s="175"/>
      <c r="L83" s="175"/>
      <c r="M83" s="175"/>
    </row>
    <row r="84" spans="2:13" s="158" customFormat="1" ht="26.25" customHeight="1">
      <c r="B84" s="158" t="s">
        <v>1104</v>
      </c>
      <c r="E84" s="291"/>
      <c r="F84" s="291"/>
      <c r="G84" s="291"/>
      <c r="H84" s="391"/>
      <c r="I84" s="175"/>
      <c r="J84" s="175"/>
      <c r="K84" s="175"/>
      <c r="L84" s="175"/>
      <c r="M84" s="175"/>
    </row>
    <row r="85" spans="1:13" s="158" customFormat="1" ht="26.25" customHeight="1">
      <c r="A85" s="158" t="s">
        <v>889</v>
      </c>
      <c r="B85" s="291"/>
      <c r="E85" s="291"/>
      <c r="F85" s="291"/>
      <c r="G85" s="291"/>
      <c r="H85" s="391"/>
      <c r="I85" s="175"/>
      <c r="J85" s="175"/>
      <c r="K85" s="175"/>
      <c r="L85" s="175"/>
      <c r="M85" s="175"/>
    </row>
    <row r="86" spans="1:13" s="158" customFormat="1" ht="26.25" customHeight="1">
      <c r="A86" s="158" t="s">
        <v>746</v>
      </c>
      <c r="B86" s="291"/>
      <c r="E86" s="291"/>
      <c r="F86" s="291"/>
      <c r="G86" s="291"/>
      <c r="H86" s="391"/>
      <c r="I86" s="175"/>
      <c r="J86" s="175"/>
      <c r="K86" s="175"/>
      <c r="L86" s="175"/>
      <c r="M86" s="175"/>
    </row>
    <row r="87" spans="2:13" s="288" customFormat="1" ht="26.25" customHeight="1">
      <c r="B87" s="181"/>
      <c r="D87" s="550"/>
      <c r="E87" s="562"/>
      <c r="F87" s="562"/>
      <c r="G87" s="562"/>
      <c r="H87" s="397"/>
      <c r="I87" s="562"/>
      <c r="J87" s="397"/>
      <c r="K87" s="563" t="s">
        <v>592</v>
      </c>
      <c r="L87" s="564"/>
      <c r="M87" s="564"/>
    </row>
    <row r="88" spans="2:13" s="288" customFormat="1" ht="26.25" customHeight="1">
      <c r="B88" s="181"/>
      <c r="D88" s="550"/>
      <c r="E88" s="675" t="s">
        <v>862</v>
      </c>
      <c r="F88" s="675"/>
      <c r="G88" s="675"/>
      <c r="H88" s="397"/>
      <c r="I88" s="675" t="s">
        <v>863</v>
      </c>
      <c r="J88" s="675"/>
      <c r="K88" s="675"/>
      <c r="L88" s="564"/>
      <c r="M88" s="564"/>
    </row>
    <row r="89" spans="2:13" s="288" customFormat="1" ht="26.25" customHeight="1">
      <c r="B89" s="181"/>
      <c r="D89" s="550"/>
      <c r="E89" s="679" t="s">
        <v>514</v>
      </c>
      <c r="F89" s="679"/>
      <c r="G89" s="679"/>
      <c r="H89" s="397"/>
      <c r="I89" s="679" t="s">
        <v>864</v>
      </c>
      <c r="J89" s="679"/>
      <c r="K89" s="679"/>
      <c r="L89" s="564"/>
      <c r="M89" s="564"/>
    </row>
    <row r="90" spans="4:11" s="406" customFormat="1" ht="26.25" customHeight="1">
      <c r="D90" s="555" t="s">
        <v>349</v>
      </c>
      <c r="E90" s="396" t="s">
        <v>236</v>
      </c>
      <c r="F90" s="397"/>
      <c r="G90" s="396" t="s">
        <v>141</v>
      </c>
      <c r="I90" s="396" t="s">
        <v>236</v>
      </c>
      <c r="J90" s="397"/>
      <c r="K90" s="396" t="s">
        <v>141</v>
      </c>
    </row>
    <row r="91" spans="1:15" s="406" customFormat="1" ht="26.25" customHeight="1">
      <c r="A91" s="565" t="s">
        <v>688</v>
      </c>
      <c r="B91" s="403" t="s">
        <v>926</v>
      </c>
      <c r="D91" s="555"/>
      <c r="E91" s="396"/>
      <c r="F91" s="397"/>
      <c r="G91" s="396"/>
      <c r="I91" s="396"/>
      <c r="J91" s="397"/>
      <c r="K91" s="396"/>
      <c r="O91" s="288"/>
    </row>
    <row r="92" spans="2:11" s="406" customFormat="1" ht="26.25" customHeight="1">
      <c r="B92" s="403" t="s">
        <v>927</v>
      </c>
      <c r="C92" s="288"/>
      <c r="D92" s="492" t="s">
        <v>126</v>
      </c>
      <c r="E92" s="399">
        <v>1080192.82</v>
      </c>
      <c r="F92" s="399"/>
      <c r="G92" s="399">
        <v>731815.27</v>
      </c>
      <c r="H92" s="399"/>
      <c r="I92" s="399">
        <v>1080192.82</v>
      </c>
      <c r="J92" s="399"/>
      <c r="K92" s="399">
        <v>731815.27</v>
      </c>
    </row>
    <row r="93" spans="1:11" s="406" customFormat="1" ht="26.25" customHeight="1">
      <c r="A93" s="565" t="s">
        <v>689</v>
      </c>
      <c r="B93" s="403" t="s">
        <v>928</v>
      </c>
      <c r="C93" s="288"/>
      <c r="D93" s="492" t="s">
        <v>130</v>
      </c>
      <c r="E93" s="399">
        <v>2977751.79</v>
      </c>
      <c r="F93" s="399"/>
      <c r="G93" s="399">
        <v>1880619.16</v>
      </c>
      <c r="H93" s="399"/>
      <c r="I93" s="399">
        <v>2977751.79</v>
      </c>
      <c r="J93" s="399"/>
      <c r="K93" s="399">
        <v>1880619.16</v>
      </c>
    </row>
    <row r="94" spans="1:11" s="406" customFormat="1" ht="26.25" customHeight="1">
      <c r="A94" s="565" t="s">
        <v>690</v>
      </c>
      <c r="B94" s="403" t="s">
        <v>368</v>
      </c>
      <c r="C94" s="288"/>
      <c r="D94" s="492" t="s">
        <v>118</v>
      </c>
      <c r="E94" s="399">
        <v>861341.87</v>
      </c>
      <c r="F94" s="399"/>
      <c r="G94" s="399">
        <v>1307236.05</v>
      </c>
      <c r="H94" s="399"/>
      <c r="I94" s="399">
        <v>861341.87</v>
      </c>
      <c r="J94" s="399"/>
      <c r="K94" s="399">
        <v>1307236.05</v>
      </c>
    </row>
    <row r="95" spans="1:11" s="406" customFormat="1" ht="26.25" customHeight="1">
      <c r="A95" s="565" t="s">
        <v>691</v>
      </c>
      <c r="B95" s="403" t="s">
        <v>930</v>
      </c>
      <c r="C95" s="288"/>
      <c r="D95" s="566" t="s">
        <v>30</v>
      </c>
      <c r="E95" s="399">
        <v>4117808.2</v>
      </c>
      <c r="F95" s="399"/>
      <c r="G95" s="399">
        <v>4130136.97</v>
      </c>
      <c r="H95" s="399"/>
      <c r="I95" s="399">
        <v>4117808.2</v>
      </c>
      <c r="J95" s="399"/>
      <c r="K95" s="399">
        <v>4130136.97</v>
      </c>
    </row>
    <row r="96" spans="1:11" s="406" customFormat="1" ht="26.25" customHeight="1">
      <c r="A96" s="565" t="s">
        <v>693</v>
      </c>
      <c r="B96" s="403" t="s">
        <v>932</v>
      </c>
      <c r="C96" s="288"/>
      <c r="D96" s="566" t="s">
        <v>931</v>
      </c>
      <c r="E96" s="399">
        <v>1647123.29</v>
      </c>
      <c r="F96" s="399"/>
      <c r="G96" s="399">
        <v>1652054.8</v>
      </c>
      <c r="H96" s="399"/>
      <c r="I96" s="399">
        <v>1647123.29</v>
      </c>
      <c r="J96" s="399"/>
      <c r="K96" s="399">
        <v>1652054.8</v>
      </c>
    </row>
    <row r="97" spans="1:11" s="406" customFormat="1" ht="26.25" customHeight="1">
      <c r="A97" s="565" t="s">
        <v>695</v>
      </c>
      <c r="B97" s="403" t="s">
        <v>933</v>
      </c>
      <c r="C97" s="288"/>
      <c r="D97" s="566" t="s">
        <v>931</v>
      </c>
      <c r="E97" s="399">
        <v>823561.65</v>
      </c>
      <c r="F97" s="399"/>
      <c r="G97" s="399">
        <v>826027.41</v>
      </c>
      <c r="H97" s="399"/>
      <c r="I97" s="399">
        <v>823561.65</v>
      </c>
      <c r="J97" s="399"/>
      <c r="K97" s="399">
        <v>826027.41</v>
      </c>
    </row>
    <row r="98" spans="1:11" s="406" customFormat="1" ht="26.25" customHeight="1">
      <c r="A98" s="565" t="s">
        <v>696</v>
      </c>
      <c r="B98" s="403" t="s">
        <v>934</v>
      </c>
      <c r="C98" s="403"/>
      <c r="D98" s="566" t="s">
        <v>931</v>
      </c>
      <c r="E98" s="399">
        <v>1647123.29</v>
      </c>
      <c r="F98" s="399"/>
      <c r="G98" s="399">
        <v>1652054.8</v>
      </c>
      <c r="H98" s="399"/>
      <c r="I98" s="399">
        <v>1647123.29</v>
      </c>
      <c r="J98" s="399"/>
      <c r="K98" s="399">
        <v>1652054.8</v>
      </c>
    </row>
    <row r="99" spans="1:11" s="406" customFormat="1" ht="26.25" customHeight="1">
      <c r="A99" s="565"/>
      <c r="B99" s="403"/>
      <c r="C99" s="403"/>
      <c r="D99" s="566"/>
      <c r="E99" s="399"/>
      <c r="F99" s="399"/>
      <c r="G99" s="399"/>
      <c r="H99" s="399"/>
      <c r="I99" s="399"/>
      <c r="J99" s="399"/>
      <c r="K99" s="399"/>
    </row>
    <row r="100" spans="1:11" s="406" customFormat="1" ht="26.25" customHeight="1">
      <c r="A100" s="565"/>
      <c r="B100" s="403"/>
      <c r="C100" s="403"/>
      <c r="D100" s="566"/>
      <c r="E100" s="399"/>
      <c r="F100" s="399"/>
      <c r="G100" s="399"/>
      <c r="H100" s="399"/>
      <c r="I100" s="399"/>
      <c r="J100" s="399"/>
      <c r="K100" s="399"/>
    </row>
    <row r="101" spans="1:11" s="406" customFormat="1" ht="26.25" customHeight="1">
      <c r="A101" s="565"/>
      <c r="B101" s="403"/>
      <c r="C101" s="403"/>
      <c r="D101" s="566"/>
      <c r="E101" s="399"/>
      <c r="F101" s="399"/>
      <c r="G101" s="399"/>
      <c r="H101" s="399"/>
      <c r="I101" s="399"/>
      <c r="J101" s="399"/>
      <c r="K101" s="399"/>
    </row>
    <row r="102" spans="1:11" s="406" customFormat="1" ht="26.25" customHeight="1">
      <c r="A102" s="565"/>
      <c r="B102" s="403"/>
      <c r="C102" s="403"/>
      <c r="D102" s="566"/>
      <c r="E102" s="399"/>
      <c r="F102" s="399"/>
      <c r="G102" s="399"/>
      <c r="H102" s="399"/>
      <c r="I102" s="399"/>
      <c r="J102" s="399"/>
      <c r="K102" s="399"/>
    </row>
    <row r="103" spans="1:11" s="406" customFormat="1" ht="26.25" customHeight="1">
      <c r="A103" s="565"/>
      <c r="B103" s="403"/>
      <c r="C103" s="403"/>
      <c r="D103" s="566"/>
      <c r="E103" s="399"/>
      <c r="F103" s="399"/>
      <c r="G103" s="399"/>
      <c r="H103" s="399"/>
      <c r="I103" s="399"/>
      <c r="J103" s="399"/>
      <c r="K103" s="399"/>
    </row>
    <row r="104" spans="1:11" s="406" customFormat="1" ht="26.25" customHeight="1">
      <c r="A104" s="565"/>
      <c r="B104" s="403"/>
      <c r="C104" s="403"/>
      <c r="D104" s="566"/>
      <c r="E104" s="399"/>
      <c r="F104" s="399"/>
      <c r="G104" s="399"/>
      <c r="H104" s="399"/>
      <c r="I104" s="399"/>
      <c r="J104" s="399"/>
      <c r="K104" s="399"/>
    </row>
    <row r="105" spans="1:11" s="406" customFormat="1" ht="26.25" customHeight="1">
      <c r="A105" s="677" t="s">
        <v>925</v>
      </c>
      <c r="B105" s="677"/>
      <c r="C105" s="677"/>
      <c r="D105" s="677"/>
      <c r="E105" s="677"/>
      <c r="F105" s="677"/>
      <c r="G105" s="677"/>
      <c r="H105" s="677"/>
      <c r="I105" s="677"/>
      <c r="J105" s="677"/>
      <c r="K105" s="677"/>
    </row>
    <row r="106" spans="1:11" s="406" customFormat="1" ht="26.25" customHeight="1">
      <c r="A106" s="565"/>
      <c r="B106" s="403"/>
      <c r="C106" s="403"/>
      <c r="D106" s="566"/>
      <c r="E106" s="399"/>
      <c r="F106" s="399"/>
      <c r="G106" s="399"/>
      <c r="H106" s="399"/>
      <c r="I106" s="399"/>
      <c r="J106" s="399"/>
      <c r="K106" s="399"/>
    </row>
    <row r="107" spans="1:12" s="158" customFormat="1" ht="26.25" customHeight="1">
      <c r="A107" s="157" t="s">
        <v>1236</v>
      </c>
      <c r="C107" s="291"/>
      <c r="D107" s="291"/>
      <c r="E107" s="175"/>
      <c r="L107" s="175"/>
    </row>
    <row r="108" spans="2:13" s="158" customFormat="1" ht="26.25" customHeight="1">
      <c r="B108" s="158" t="s">
        <v>1237</v>
      </c>
      <c r="C108" s="291"/>
      <c r="D108" s="291"/>
      <c r="E108" s="291"/>
      <c r="F108" s="291"/>
      <c r="G108" s="291"/>
      <c r="H108" s="175"/>
      <c r="I108" s="175"/>
      <c r="J108" s="175"/>
      <c r="K108" s="175"/>
      <c r="L108" s="175"/>
      <c r="M108" s="175"/>
    </row>
    <row r="109" spans="1:13" s="158" customFormat="1" ht="26.25" customHeight="1">
      <c r="A109" s="158" t="s">
        <v>267</v>
      </c>
      <c r="C109" s="291"/>
      <c r="D109" s="291"/>
      <c r="E109" s="291"/>
      <c r="F109" s="291"/>
      <c r="G109" s="291"/>
      <c r="H109" s="391"/>
      <c r="I109" s="175"/>
      <c r="J109" s="175"/>
      <c r="K109" s="175"/>
      <c r="L109" s="175"/>
      <c r="M109" s="175"/>
    </row>
    <row r="110" spans="1:13" s="158" customFormat="1" ht="26.25" customHeight="1">
      <c r="A110" s="158" t="s">
        <v>1238</v>
      </c>
      <c r="C110" s="291"/>
      <c r="D110" s="291"/>
      <c r="E110" s="291"/>
      <c r="F110" s="291"/>
      <c r="G110" s="291"/>
      <c r="H110" s="391"/>
      <c r="I110" s="175"/>
      <c r="J110" s="175"/>
      <c r="K110" s="175"/>
      <c r="L110" s="175"/>
      <c r="M110" s="175"/>
    </row>
    <row r="111" spans="2:13" s="288" customFormat="1" ht="26.25" customHeight="1">
      <c r="B111" s="181"/>
      <c r="D111" s="550"/>
      <c r="E111" s="562"/>
      <c r="F111" s="562"/>
      <c r="G111" s="562"/>
      <c r="H111" s="397"/>
      <c r="I111" s="562"/>
      <c r="J111" s="397"/>
      <c r="K111" s="563" t="s">
        <v>592</v>
      </c>
      <c r="L111" s="564"/>
      <c r="M111" s="564"/>
    </row>
    <row r="112" spans="2:13" s="288" customFormat="1" ht="26.25" customHeight="1">
      <c r="B112" s="181"/>
      <c r="D112" s="550"/>
      <c r="E112" s="675" t="s">
        <v>862</v>
      </c>
      <c r="F112" s="675"/>
      <c r="G112" s="675"/>
      <c r="H112" s="397"/>
      <c r="I112" s="675" t="s">
        <v>863</v>
      </c>
      <c r="J112" s="675"/>
      <c r="K112" s="675"/>
      <c r="L112" s="564"/>
      <c r="M112" s="564"/>
    </row>
    <row r="113" spans="2:13" s="288" customFormat="1" ht="26.25" customHeight="1">
      <c r="B113" s="181"/>
      <c r="D113" s="550"/>
      <c r="E113" s="679" t="s">
        <v>514</v>
      </c>
      <c r="F113" s="679"/>
      <c r="G113" s="679"/>
      <c r="H113" s="397"/>
      <c r="I113" s="679" t="s">
        <v>864</v>
      </c>
      <c r="J113" s="679"/>
      <c r="K113" s="679"/>
      <c r="L113" s="564"/>
      <c r="M113" s="564"/>
    </row>
    <row r="114" spans="4:11" s="406" customFormat="1" ht="26.25" customHeight="1">
      <c r="D114" s="555" t="s">
        <v>349</v>
      </c>
      <c r="E114" s="396" t="s">
        <v>236</v>
      </c>
      <c r="F114" s="397"/>
      <c r="G114" s="396" t="s">
        <v>141</v>
      </c>
      <c r="I114" s="396" t="s">
        <v>236</v>
      </c>
      <c r="J114" s="397"/>
      <c r="K114" s="396" t="s">
        <v>141</v>
      </c>
    </row>
    <row r="115" spans="1:11" s="288" customFormat="1" ht="26.25" customHeight="1">
      <c r="A115" s="489" t="s">
        <v>688</v>
      </c>
      <c r="B115" s="288" t="s">
        <v>368</v>
      </c>
      <c r="C115" s="181"/>
      <c r="D115" s="492" t="s">
        <v>118</v>
      </c>
      <c r="E115" s="564">
        <v>228199.82</v>
      </c>
      <c r="F115" s="399"/>
      <c r="G115" s="558">
        <v>434074.56</v>
      </c>
      <c r="H115" s="399"/>
      <c r="I115" s="564">
        <v>228199.82</v>
      </c>
      <c r="J115" s="399"/>
      <c r="K115" s="558">
        <v>434074.56</v>
      </c>
    </row>
    <row r="116" spans="1:11" s="288" customFormat="1" ht="26.25" customHeight="1">
      <c r="A116" s="489" t="s">
        <v>689</v>
      </c>
      <c r="B116" s="403" t="s">
        <v>926</v>
      </c>
      <c r="C116" s="181"/>
      <c r="E116" s="564"/>
      <c r="F116" s="404"/>
      <c r="G116" s="404"/>
      <c r="H116" s="404"/>
      <c r="I116" s="564"/>
      <c r="J116" s="404"/>
      <c r="K116" s="404"/>
    </row>
    <row r="117" spans="1:11" s="288" customFormat="1" ht="26.25" customHeight="1">
      <c r="A117" s="489"/>
      <c r="B117" s="403" t="s">
        <v>927</v>
      </c>
      <c r="C117" s="181"/>
      <c r="D117" s="492" t="s">
        <v>126</v>
      </c>
      <c r="E117" s="564">
        <v>1483766.78</v>
      </c>
      <c r="F117" s="399"/>
      <c r="G117" s="399">
        <v>1778024.82</v>
      </c>
      <c r="H117" s="399"/>
      <c r="I117" s="564">
        <v>1483766.78</v>
      </c>
      <c r="J117" s="399"/>
      <c r="K117" s="399">
        <v>1778024.82</v>
      </c>
    </row>
    <row r="118" spans="1:9" s="288" customFormat="1" ht="26.25" customHeight="1">
      <c r="A118" s="489" t="s">
        <v>690</v>
      </c>
      <c r="B118" s="403" t="s">
        <v>935</v>
      </c>
      <c r="C118" s="181"/>
      <c r="E118" s="564"/>
      <c r="I118" s="564"/>
    </row>
    <row r="119" spans="2:11" s="288" customFormat="1" ht="26.25" customHeight="1">
      <c r="B119" s="403" t="s">
        <v>936</v>
      </c>
      <c r="C119" s="181"/>
      <c r="D119" s="492" t="s">
        <v>246</v>
      </c>
      <c r="E119" s="564">
        <v>2981026.65</v>
      </c>
      <c r="F119" s="399"/>
      <c r="G119" s="399">
        <v>2588334.27</v>
      </c>
      <c r="H119" s="399"/>
      <c r="I119" s="564">
        <v>2981026.65</v>
      </c>
      <c r="J119" s="399"/>
      <c r="K119" s="399">
        <v>2588334.27</v>
      </c>
    </row>
    <row r="120" spans="1:9" s="288" customFormat="1" ht="26.25" customHeight="1">
      <c r="A120" s="565" t="s">
        <v>691</v>
      </c>
      <c r="B120" s="403" t="s">
        <v>915</v>
      </c>
      <c r="C120" s="181"/>
      <c r="E120" s="564"/>
      <c r="I120" s="564"/>
    </row>
    <row r="121" spans="1:11" s="406" customFormat="1" ht="26.25" customHeight="1">
      <c r="A121" s="565"/>
      <c r="B121" s="403" t="s">
        <v>916</v>
      </c>
      <c r="C121" s="403"/>
      <c r="D121" s="492" t="s">
        <v>246</v>
      </c>
      <c r="E121" s="564">
        <v>1843380</v>
      </c>
      <c r="F121" s="399"/>
      <c r="G121" s="399">
        <v>1530900</v>
      </c>
      <c r="H121" s="399"/>
      <c r="I121" s="564">
        <v>1843380</v>
      </c>
      <c r="J121" s="399"/>
      <c r="K121" s="399">
        <v>1530900</v>
      </c>
    </row>
    <row r="122" spans="1:11" s="406" customFormat="1" ht="26.25" customHeight="1">
      <c r="A122" s="489" t="s">
        <v>693</v>
      </c>
      <c r="B122" s="403" t="s">
        <v>135</v>
      </c>
      <c r="C122" s="403"/>
      <c r="E122" s="564"/>
      <c r="F122" s="399"/>
      <c r="G122" s="399"/>
      <c r="H122" s="399"/>
      <c r="I122" s="564"/>
      <c r="J122" s="399"/>
      <c r="K122" s="399"/>
    </row>
    <row r="123" spans="1:11" s="288" customFormat="1" ht="26.25" customHeight="1">
      <c r="A123" s="489"/>
      <c r="B123" s="403" t="s">
        <v>936</v>
      </c>
      <c r="C123" s="181"/>
      <c r="D123" s="492" t="s">
        <v>382</v>
      </c>
      <c r="E123" s="564">
        <v>108531371.42</v>
      </c>
      <c r="F123" s="399"/>
      <c r="G123" s="399">
        <v>87834301.22</v>
      </c>
      <c r="H123" s="399"/>
      <c r="I123" s="564">
        <v>108531371.42</v>
      </c>
      <c r="J123" s="399"/>
      <c r="K123" s="399">
        <v>87834301.22</v>
      </c>
    </row>
    <row r="124" spans="1:9" s="406" customFormat="1" ht="26.25" customHeight="1">
      <c r="A124" s="565" t="s">
        <v>695</v>
      </c>
      <c r="B124" s="403" t="s">
        <v>919</v>
      </c>
      <c r="C124" s="403"/>
      <c r="E124" s="564"/>
      <c r="I124" s="564"/>
    </row>
    <row r="125" spans="1:11" s="406" customFormat="1" ht="26.25" customHeight="1">
      <c r="A125" s="565"/>
      <c r="B125" s="403" t="s">
        <v>936</v>
      </c>
      <c r="C125" s="403"/>
      <c r="D125" s="492" t="s">
        <v>246</v>
      </c>
      <c r="E125" s="564">
        <v>1404000</v>
      </c>
      <c r="F125" s="399"/>
      <c r="G125" s="399">
        <v>1404000</v>
      </c>
      <c r="H125" s="399"/>
      <c r="I125" s="564">
        <v>1404000</v>
      </c>
      <c r="J125" s="399"/>
      <c r="K125" s="399">
        <v>1404000</v>
      </c>
    </row>
    <row r="126" spans="1:11" s="288" customFormat="1" ht="26.25" customHeight="1">
      <c r="A126" s="489" t="s">
        <v>696</v>
      </c>
      <c r="B126" s="403" t="s">
        <v>938</v>
      </c>
      <c r="C126" s="181"/>
      <c r="D126" s="492" t="s">
        <v>382</v>
      </c>
      <c r="E126" s="564">
        <v>5332260</v>
      </c>
      <c r="F126" s="399"/>
      <c r="G126" s="399">
        <v>4790160</v>
      </c>
      <c r="H126" s="399"/>
      <c r="I126" s="564">
        <v>5332260</v>
      </c>
      <c r="J126" s="399"/>
      <c r="K126" s="399">
        <v>4790160</v>
      </c>
    </row>
    <row r="127" spans="1:9" s="288" customFormat="1" ht="26.25" customHeight="1">
      <c r="A127" s="489" t="s">
        <v>697</v>
      </c>
      <c r="B127" s="403" t="s">
        <v>191</v>
      </c>
      <c r="C127" s="181"/>
      <c r="E127" s="564"/>
      <c r="I127" s="564"/>
    </row>
    <row r="128" spans="1:11" s="288" customFormat="1" ht="26.25" customHeight="1">
      <c r="A128" s="489"/>
      <c r="B128" s="403" t="s">
        <v>936</v>
      </c>
      <c r="C128" s="181"/>
      <c r="D128" s="492" t="s">
        <v>246</v>
      </c>
      <c r="E128" s="564">
        <v>1778760</v>
      </c>
      <c r="F128" s="399"/>
      <c r="G128" s="399">
        <v>1778760</v>
      </c>
      <c r="H128" s="399"/>
      <c r="I128" s="564">
        <v>1778760</v>
      </c>
      <c r="J128" s="399"/>
      <c r="K128" s="399">
        <v>1778760</v>
      </c>
    </row>
    <row r="129" spans="1:11" s="158" customFormat="1" ht="26.25" customHeight="1">
      <c r="A129" s="489" t="s">
        <v>698</v>
      </c>
      <c r="B129" s="288" t="s">
        <v>411</v>
      </c>
      <c r="C129" s="181"/>
      <c r="D129" s="492" t="s">
        <v>371</v>
      </c>
      <c r="E129" s="175">
        <v>1312200</v>
      </c>
      <c r="F129" s="399"/>
      <c r="G129" s="399">
        <v>656100</v>
      </c>
      <c r="H129" s="399"/>
      <c r="I129" s="175">
        <v>1312200</v>
      </c>
      <c r="J129" s="399"/>
      <c r="K129" s="399">
        <v>656100</v>
      </c>
    </row>
    <row r="130" spans="1:11" s="158" customFormat="1" ht="26.25" customHeight="1">
      <c r="A130" s="489" t="s">
        <v>699</v>
      </c>
      <c r="B130" s="288" t="s">
        <v>939</v>
      </c>
      <c r="C130" s="181"/>
      <c r="D130" s="492" t="s">
        <v>929</v>
      </c>
      <c r="E130" s="175">
        <v>656100</v>
      </c>
      <c r="F130" s="399"/>
      <c r="G130" s="399">
        <v>656100</v>
      </c>
      <c r="H130" s="399"/>
      <c r="I130" s="175">
        <v>656100</v>
      </c>
      <c r="J130" s="399"/>
      <c r="K130" s="399">
        <v>656100</v>
      </c>
    </row>
    <row r="131" spans="1:11" s="302" customFormat="1" ht="26.25" customHeight="1">
      <c r="A131" s="565" t="s">
        <v>700</v>
      </c>
      <c r="B131" s="403" t="s">
        <v>413</v>
      </c>
      <c r="C131" s="403"/>
      <c r="D131" s="492" t="s">
        <v>357</v>
      </c>
      <c r="E131" s="175">
        <v>534600</v>
      </c>
      <c r="F131" s="399"/>
      <c r="G131" s="399">
        <v>534600</v>
      </c>
      <c r="H131" s="399"/>
      <c r="I131" s="175">
        <v>534600</v>
      </c>
      <c r="J131" s="399"/>
      <c r="K131" s="399">
        <v>534600</v>
      </c>
    </row>
    <row r="132" spans="1:11" s="302" customFormat="1" ht="26.25" customHeight="1">
      <c r="A132" s="565" t="s">
        <v>701</v>
      </c>
      <c r="B132" s="403" t="s">
        <v>928</v>
      </c>
      <c r="C132" s="403"/>
      <c r="D132" s="492" t="s">
        <v>130</v>
      </c>
      <c r="E132" s="175">
        <v>617689.82</v>
      </c>
      <c r="F132" s="399"/>
      <c r="G132" s="399">
        <v>2886232.06</v>
      </c>
      <c r="H132" s="399"/>
      <c r="I132" s="175">
        <v>617689.82</v>
      </c>
      <c r="J132" s="399"/>
      <c r="K132" s="399">
        <v>2886232.06</v>
      </c>
    </row>
    <row r="133" spans="1:11" s="302" customFormat="1" ht="26.25" customHeight="1">
      <c r="A133" s="565" t="s">
        <v>702</v>
      </c>
      <c r="B133" s="398" t="s">
        <v>914</v>
      </c>
      <c r="C133" s="403"/>
      <c r="D133" s="492"/>
      <c r="E133" s="399"/>
      <c r="F133" s="399"/>
      <c r="G133" s="399"/>
      <c r="H133" s="399"/>
      <c r="I133" s="399"/>
      <c r="J133" s="399"/>
      <c r="K133" s="399"/>
    </row>
    <row r="134" spans="1:11" s="302" customFormat="1" ht="26.25" customHeight="1">
      <c r="A134" s="565"/>
      <c r="B134" s="398" t="s">
        <v>911</v>
      </c>
      <c r="C134" s="403"/>
      <c r="D134" s="492" t="s">
        <v>382</v>
      </c>
      <c r="E134" s="399">
        <v>796170.36</v>
      </c>
      <c r="F134" s="399"/>
      <c r="G134" s="399">
        <v>287995.53</v>
      </c>
      <c r="H134" s="399"/>
      <c r="I134" s="399">
        <v>796170.36</v>
      </c>
      <c r="J134" s="399"/>
      <c r="K134" s="399">
        <v>287995.53</v>
      </c>
    </row>
    <row r="135" spans="1:11" s="302" customFormat="1" ht="26.25" customHeight="1">
      <c r="A135" s="565" t="s">
        <v>703</v>
      </c>
      <c r="B135" s="398" t="s">
        <v>912</v>
      </c>
      <c r="C135" s="403"/>
      <c r="D135" s="492"/>
      <c r="E135" s="399"/>
      <c r="F135" s="399"/>
      <c r="G135" s="399"/>
      <c r="H135" s="399"/>
      <c r="I135" s="399"/>
      <c r="J135" s="399"/>
      <c r="K135" s="399"/>
    </row>
    <row r="136" spans="1:11" s="302" customFormat="1" ht="26.25" customHeight="1">
      <c r="A136" s="565"/>
      <c r="B136" s="398" t="s">
        <v>913</v>
      </c>
      <c r="C136" s="403"/>
      <c r="D136" s="492" t="s">
        <v>245</v>
      </c>
      <c r="E136" s="399">
        <v>656100</v>
      </c>
      <c r="F136" s="399"/>
      <c r="G136" s="491">
        <v>0</v>
      </c>
      <c r="H136" s="399"/>
      <c r="I136" s="399">
        <v>656100</v>
      </c>
      <c r="J136" s="399"/>
      <c r="K136" s="491">
        <v>0</v>
      </c>
    </row>
    <row r="137" spans="1:11" s="302" customFormat="1" ht="26.25" customHeight="1">
      <c r="A137" s="565"/>
      <c r="B137" s="398"/>
      <c r="C137" s="403"/>
      <c r="D137" s="492"/>
      <c r="E137" s="399"/>
      <c r="F137" s="399"/>
      <c r="G137" s="488"/>
      <c r="H137" s="399"/>
      <c r="I137" s="399"/>
      <c r="J137" s="399"/>
      <c r="K137" s="399"/>
    </row>
    <row r="138" spans="1:11" s="302" customFormat="1" ht="22.5" customHeight="1">
      <c r="A138" s="677" t="s">
        <v>31</v>
      </c>
      <c r="B138" s="677"/>
      <c r="C138" s="677"/>
      <c r="D138" s="677"/>
      <c r="E138" s="677"/>
      <c r="F138" s="677"/>
      <c r="G138" s="677"/>
      <c r="H138" s="677"/>
      <c r="I138" s="677"/>
      <c r="J138" s="677"/>
      <c r="K138" s="677"/>
    </row>
    <row r="139" spans="1:11" s="302" customFormat="1" ht="22.5" customHeight="1">
      <c r="A139" s="565"/>
      <c r="B139" s="398"/>
      <c r="C139" s="403"/>
      <c r="D139" s="492"/>
      <c r="E139" s="399"/>
      <c r="F139" s="399"/>
      <c r="G139" s="488"/>
      <c r="H139" s="399"/>
      <c r="I139" s="399"/>
      <c r="J139" s="399"/>
      <c r="K139" s="399"/>
    </row>
    <row r="140" spans="1:5" s="402" customFormat="1" ht="22.5" customHeight="1">
      <c r="A140" s="407" t="s">
        <v>1239</v>
      </c>
      <c r="C140" s="408"/>
      <c r="D140" s="408"/>
      <c r="E140" s="409"/>
    </row>
    <row r="141" spans="2:13" s="158" customFormat="1" ht="22.5" customHeight="1">
      <c r="B141" s="158" t="s">
        <v>747</v>
      </c>
      <c r="C141" s="291"/>
      <c r="D141" s="291"/>
      <c r="E141" s="291"/>
      <c r="F141" s="291"/>
      <c r="G141" s="291"/>
      <c r="H141" s="175"/>
      <c r="I141" s="175"/>
      <c r="J141" s="175"/>
      <c r="K141" s="175"/>
      <c r="L141" s="175"/>
      <c r="M141" s="175"/>
    </row>
    <row r="142" spans="1:13" s="158" customFormat="1" ht="22.5" customHeight="1">
      <c r="A142" s="158" t="s">
        <v>748</v>
      </c>
      <c r="C142" s="291"/>
      <c r="D142" s="291"/>
      <c r="E142" s="291"/>
      <c r="F142" s="291"/>
      <c r="G142" s="291"/>
      <c r="H142" s="391"/>
      <c r="I142" s="175"/>
      <c r="J142" s="175"/>
      <c r="K142" s="175"/>
      <c r="L142" s="175"/>
      <c r="M142" s="175"/>
    </row>
    <row r="143" spans="1:13" s="158" customFormat="1" ht="22.5" customHeight="1">
      <c r="A143" s="158" t="s">
        <v>890</v>
      </c>
      <c r="C143" s="291"/>
      <c r="D143" s="291"/>
      <c r="E143" s="291"/>
      <c r="F143" s="291"/>
      <c r="G143" s="291"/>
      <c r="H143" s="391"/>
      <c r="I143" s="175"/>
      <c r="J143" s="175"/>
      <c r="K143" s="175"/>
      <c r="L143" s="175"/>
      <c r="M143" s="175"/>
    </row>
    <row r="144" spans="1:13" s="158" customFormat="1" ht="22.5" customHeight="1">
      <c r="A144" s="158" t="s">
        <v>749</v>
      </c>
      <c r="C144" s="291"/>
      <c r="D144" s="291"/>
      <c r="E144" s="291"/>
      <c r="F144" s="291"/>
      <c r="G144" s="291"/>
      <c r="H144" s="391"/>
      <c r="I144" s="175"/>
      <c r="J144" s="175"/>
      <c r="K144" s="175"/>
      <c r="L144" s="175"/>
      <c r="M144" s="175"/>
    </row>
    <row r="145" spans="1:13" s="158" customFormat="1" ht="22.5" customHeight="1">
      <c r="A145" s="158" t="s">
        <v>750</v>
      </c>
      <c r="C145" s="291"/>
      <c r="D145" s="291"/>
      <c r="E145" s="291"/>
      <c r="F145" s="291"/>
      <c r="G145" s="291"/>
      <c r="H145" s="391"/>
      <c r="I145" s="175"/>
      <c r="J145" s="175"/>
      <c r="K145" s="175"/>
      <c r="L145" s="175"/>
      <c r="M145" s="175"/>
    </row>
    <row r="146" spans="3:13" s="158" customFormat="1" ht="22.5" customHeight="1">
      <c r="C146" s="291"/>
      <c r="D146" s="550"/>
      <c r="E146" s="562"/>
      <c r="F146" s="562"/>
      <c r="G146" s="562"/>
      <c r="H146" s="397"/>
      <c r="I146" s="562"/>
      <c r="J146" s="397"/>
      <c r="K146" s="563" t="s">
        <v>592</v>
      </c>
      <c r="L146" s="564"/>
      <c r="M146" s="175"/>
    </row>
    <row r="147" spans="3:13" s="158" customFormat="1" ht="22.5" customHeight="1">
      <c r="C147" s="291"/>
      <c r="D147" s="550"/>
      <c r="E147" s="675" t="s">
        <v>862</v>
      </c>
      <c r="F147" s="675"/>
      <c r="G147" s="675"/>
      <c r="H147" s="397"/>
      <c r="I147" s="675" t="s">
        <v>863</v>
      </c>
      <c r="J147" s="675"/>
      <c r="K147" s="675"/>
      <c r="L147" s="564"/>
      <c r="M147" s="175"/>
    </row>
    <row r="148" spans="3:13" s="158" customFormat="1" ht="22.5" customHeight="1">
      <c r="C148" s="291"/>
      <c r="D148" s="550"/>
      <c r="E148" s="679" t="s">
        <v>514</v>
      </c>
      <c r="F148" s="679"/>
      <c r="G148" s="679"/>
      <c r="H148" s="397"/>
      <c r="I148" s="679" t="s">
        <v>864</v>
      </c>
      <c r="J148" s="679"/>
      <c r="K148" s="679"/>
      <c r="L148" s="564"/>
      <c r="M148" s="175"/>
    </row>
    <row r="149" spans="4:12" s="302" customFormat="1" ht="22.5" customHeight="1">
      <c r="D149" s="555" t="s">
        <v>349</v>
      </c>
      <c r="E149" s="396" t="s">
        <v>236</v>
      </c>
      <c r="F149" s="397"/>
      <c r="G149" s="396" t="s">
        <v>141</v>
      </c>
      <c r="H149" s="406"/>
      <c r="I149" s="396" t="s">
        <v>236</v>
      </c>
      <c r="J149" s="397"/>
      <c r="K149" s="396" t="s">
        <v>141</v>
      </c>
      <c r="L149" s="406"/>
    </row>
    <row r="150" spans="1:11" s="406" customFormat="1" ht="22.5" customHeight="1">
      <c r="A150" s="489" t="s">
        <v>688</v>
      </c>
      <c r="B150" s="403" t="s">
        <v>355</v>
      </c>
      <c r="C150" s="403"/>
      <c r="D150" s="492" t="s">
        <v>382</v>
      </c>
      <c r="E150" s="406">
        <v>35301781.89</v>
      </c>
      <c r="F150" s="493"/>
      <c r="G150" s="493">
        <f>33829031.33+461.76</f>
        <v>33829493.089999996</v>
      </c>
      <c r="H150" s="493"/>
      <c r="I150" s="406">
        <v>50541024.69</v>
      </c>
      <c r="J150" s="493">
        <v>39742313.13</v>
      </c>
      <c r="K150" s="493">
        <f>62322059.53+461.76</f>
        <v>62322521.29</v>
      </c>
    </row>
    <row r="151" spans="1:11" s="406" customFormat="1" ht="22.5" customHeight="1">
      <c r="A151" s="489" t="s">
        <v>689</v>
      </c>
      <c r="B151" s="403" t="s">
        <v>909</v>
      </c>
      <c r="C151" s="403"/>
      <c r="D151" s="492" t="s">
        <v>825</v>
      </c>
      <c r="E151" s="406">
        <v>140746226.66</v>
      </c>
      <c r="F151" s="493"/>
      <c r="G151" s="493">
        <v>150677433.58</v>
      </c>
      <c r="H151" s="493"/>
      <c r="I151" s="406">
        <v>229077545.84</v>
      </c>
      <c r="J151" s="493">
        <v>131361809.38</v>
      </c>
      <c r="K151" s="493">
        <v>204249652.06</v>
      </c>
    </row>
    <row r="152" spans="1:11" s="406" customFormat="1" ht="22.5" customHeight="1">
      <c r="A152" s="489" t="s">
        <v>690</v>
      </c>
      <c r="B152" s="403" t="s">
        <v>360</v>
      </c>
      <c r="C152" s="403"/>
      <c r="D152" s="492" t="s">
        <v>825</v>
      </c>
      <c r="E152" s="406">
        <v>8114974.88</v>
      </c>
      <c r="F152" s="493"/>
      <c r="G152" s="493">
        <f>7955188.1+14417.67</f>
        <v>7969605.77</v>
      </c>
      <c r="H152" s="493"/>
      <c r="I152" s="406">
        <v>46383724.88</v>
      </c>
      <c r="J152" s="493">
        <v>10025143.09</v>
      </c>
      <c r="K152" s="493">
        <f>41121438.1+14417.67</f>
        <v>41135855.77</v>
      </c>
    </row>
    <row r="153" spans="1:11" s="406" customFormat="1" ht="22.5" customHeight="1">
      <c r="A153" s="489" t="s">
        <v>691</v>
      </c>
      <c r="B153" s="403" t="s">
        <v>362</v>
      </c>
      <c r="C153" s="403"/>
      <c r="D153" s="492" t="s">
        <v>825</v>
      </c>
      <c r="E153" s="406">
        <v>2898260.13</v>
      </c>
      <c r="F153" s="493"/>
      <c r="G153" s="493">
        <v>2035385.18</v>
      </c>
      <c r="H153" s="493"/>
      <c r="I153" s="406">
        <v>42316079.13</v>
      </c>
      <c r="J153" s="493">
        <v>2946011.55</v>
      </c>
      <c r="K153" s="493">
        <v>33006528.68</v>
      </c>
    </row>
    <row r="154" spans="1:11" s="406" customFormat="1" ht="22.5" customHeight="1">
      <c r="A154" s="489" t="s">
        <v>693</v>
      </c>
      <c r="B154" s="403" t="s">
        <v>940</v>
      </c>
      <c r="C154" s="403"/>
      <c r="D154" s="492" t="s">
        <v>825</v>
      </c>
      <c r="E154" s="406">
        <v>26903845.23</v>
      </c>
      <c r="F154" s="101"/>
      <c r="G154" s="101">
        <f>14862595.77-10000</f>
        <v>14852595.77</v>
      </c>
      <c r="H154" s="101"/>
      <c r="I154" s="406">
        <v>91135485.23</v>
      </c>
      <c r="J154" s="491">
        <v>11671645.59</v>
      </c>
      <c r="K154" s="101">
        <f>79094235.77-10000</f>
        <v>79084235.77</v>
      </c>
    </row>
    <row r="155" spans="1:3" s="406" customFormat="1" ht="22.5" customHeight="1">
      <c r="A155" s="489" t="s">
        <v>695</v>
      </c>
      <c r="B155" s="403" t="s">
        <v>941</v>
      </c>
      <c r="C155" s="403"/>
    </row>
    <row r="156" spans="1:11" s="406" customFormat="1" ht="22.5" customHeight="1">
      <c r="A156" s="489"/>
      <c r="B156" s="403" t="s">
        <v>913</v>
      </c>
      <c r="C156" s="403"/>
      <c r="D156" s="492" t="s">
        <v>246</v>
      </c>
      <c r="E156" s="406">
        <v>278175.5</v>
      </c>
      <c r="F156" s="101"/>
      <c r="G156" s="491">
        <v>268037.38</v>
      </c>
      <c r="H156" s="101"/>
      <c r="I156" s="406">
        <v>22917775.5</v>
      </c>
      <c r="J156" s="491"/>
      <c r="K156" s="101">
        <v>10455857.38</v>
      </c>
    </row>
    <row r="157" spans="1:11" s="406" customFormat="1" ht="22.5" customHeight="1">
      <c r="A157" s="489" t="s">
        <v>696</v>
      </c>
      <c r="B157" s="403" t="s">
        <v>368</v>
      </c>
      <c r="C157" s="403"/>
      <c r="D157" s="490" t="s">
        <v>118</v>
      </c>
      <c r="E157" s="406">
        <v>5001319.76</v>
      </c>
      <c r="F157" s="101"/>
      <c r="G157" s="491">
        <v>4565968.57</v>
      </c>
      <c r="H157" s="101"/>
      <c r="I157" s="406">
        <v>6006919.76</v>
      </c>
      <c r="J157" s="491">
        <v>3278613</v>
      </c>
      <c r="K157" s="101">
        <v>5571568.57</v>
      </c>
    </row>
    <row r="158" spans="1:11" s="406" customFormat="1" ht="22.5" customHeight="1">
      <c r="A158" s="489" t="s">
        <v>697</v>
      </c>
      <c r="B158" s="403" t="s">
        <v>370</v>
      </c>
      <c r="C158" s="403"/>
      <c r="D158" s="490" t="s">
        <v>126</v>
      </c>
      <c r="E158" s="406">
        <v>669135.97</v>
      </c>
      <c r="F158" s="101"/>
      <c r="G158" s="491">
        <f>3854727.19+23872.42</f>
        <v>3878599.61</v>
      </c>
      <c r="H158" s="101"/>
      <c r="I158" s="406">
        <v>669135.97</v>
      </c>
      <c r="J158" s="491">
        <v>8250069.22</v>
      </c>
      <c r="K158" s="491">
        <f>3854727.19+23872.42</f>
        <v>3878599.61</v>
      </c>
    </row>
    <row r="159" spans="1:3" s="406" customFormat="1" ht="22.5" customHeight="1">
      <c r="A159" s="489" t="s">
        <v>698</v>
      </c>
      <c r="B159" s="403" t="s">
        <v>926</v>
      </c>
      <c r="C159" s="403"/>
    </row>
    <row r="160" spans="1:11" s="406" customFormat="1" ht="22.5" customHeight="1">
      <c r="A160" s="489"/>
      <c r="B160" s="403" t="s">
        <v>942</v>
      </c>
      <c r="C160" s="403"/>
      <c r="D160" s="490" t="s">
        <v>126</v>
      </c>
      <c r="E160" s="406">
        <v>3313850.8</v>
      </c>
      <c r="F160" s="101"/>
      <c r="G160" s="491">
        <v>3090083.86</v>
      </c>
      <c r="H160" s="101"/>
      <c r="I160" s="406">
        <v>3913850.8</v>
      </c>
      <c r="J160" s="491">
        <v>2997373.1</v>
      </c>
      <c r="K160" s="101">
        <v>4290083.86</v>
      </c>
    </row>
    <row r="161" spans="1:3" s="406" customFormat="1" ht="22.5" customHeight="1">
      <c r="A161" s="489" t="s">
        <v>699</v>
      </c>
      <c r="B161" s="403" t="s">
        <v>910</v>
      </c>
      <c r="C161" s="403"/>
    </row>
    <row r="162" spans="2:11" s="406" customFormat="1" ht="22.5" customHeight="1">
      <c r="B162" s="403" t="s">
        <v>911</v>
      </c>
      <c r="C162" s="403"/>
      <c r="D162" s="490" t="s">
        <v>621</v>
      </c>
      <c r="E162" s="406">
        <v>7180155.86</v>
      </c>
      <c r="F162" s="101"/>
      <c r="G162" s="491">
        <v>7171191.41</v>
      </c>
      <c r="H162" s="101"/>
      <c r="I162" s="406">
        <v>7180155.86</v>
      </c>
      <c r="J162" s="491">
        <v>8939673.29</v>
      </c>
      <c r="K162" s="101">
        <v>7171191.41</v>
      </c>
    </row>
    <row r="163" spans="1:3" s="406" customFormat="1" ht="22.5" customHeight="1">
      <c r="A163" s="489" t="s">
        <v>700</v>
      </c>
      <c r="B163" s="403" t="s">
        <v>935</v>
      </c>
      <c r="C163" s="403"/>
    </row>
    <row r="164" spans="1:11" s="406" customFormat="1" ht="22.5" customHeight="1">
      <c r="A164" s="489"/>
      <c r="B164" s="403" t="s">
        <v>911</v>
      </c>
      <c r="C164" s="403"/>
      <c r="D164" s="490" t="s">
        <v>246</v>
      </c>
      <c r="E164" s="406">
        <v>14307231</v>
      </c>
      <c r="F164" s="101"/>
      <c r="G164" s="491">
        <v>11912935.19</v>
      </c>
      <c r="H164" s="101"/>
      <c r="I164" s="406">
        <v>15995961</v>
      </c>
      <c r="J164" s="491">
        <v>15241732.5</v>
      </c>
      <c r="K164" s="101">
        <v>13601665.19</v>
      </c>
    </row>
    <row r="165" spans="1:4" s="406" customFormat="1" ht="22.5" customHeight="1">
      <c r="A165" s="489" t="s">
        <v>701</v>
      </c>
      <c r="B165" s="403" t="s">
        <v>943</v>
      </c>
      <c r="C165" s="403"/>
      <c r="D165" s="403"/>
    </row>
    <row r="166" spans="2:11" s="406" customFormat="1" ht="22.5" customHeight="1">
      <c r="B166" s="403" t="s">
        <v>911</v>
      </c>
      <c r="C166" s="403"/>
      <c r="D166" s="490" t="s">
        <v>245</v>
      </c>
      <c r="E166" s="406">
        <v>86565639.13</v>
      </c>
      <c r="F166" s="101"/>
      <c r="G166" s="491">
        <v>82316672.11</v>
      </c>
      <c r="H166" s="101"/>
      <c r="I166" s="406">
        <v>122091639.13</v>
      </c>
      <c r="J166" s="491">
        <v>65493696.21</v>
      </c>
      <c r="K166" s="101">
        <v>122239712.11</v>
      </c>
    </row>
    <row r="167" spans="1:4" s="406" customFormat="1" ht="22.5" customHeight="1">
      <c r="A167" s="489" t="s">
        <v>702</v>
      </c>
      <c r="B167" s="403" t="s">
        <v>944</v>
      </c>
      <c r="C167" s="403"/>
      <c r="D167" s="403"/>
    </row>
    <row r="168" spans="1:11" s="406" customFormat="1" ht="22.5" customHeight="1">
      <c r="A168" s="492"/>
      <c r="B168" s="403" t="s">
        <v>945</v>
      </c>
      <c r="C168" s="403"/>
      <c r="D168" s="490" t="s">
        <v>246</v>
      </c>
      <c r="E168" s="406">
        <v>1463500</v>
      </c>
      <c r="F168" s="101"/>
      <c r="G168" s="491">
        <v>1427265.49</v>
      </c>
      <c r="H168" s="101"/>
      <c r="I168" s="406">
        <v>23963500</v>
      </c>
      <c r="J168" s="491">
        <v>1392897.13</v>
      </c>
      <c r="K168" s="101">
        <v>16427265.49</v>
      </c>
    </row>
    <row r="169" spans="1:11" s="406" customFormat="1" ht="22.5" customHeight="1">
      <c r="A169" s="489" t="s">
        <v>703</v>
      </c>
      <c r="B169" s="403" t="s">
        <v>388</v>
      </c>
      <c r="C169" s="403"/>
      <c r="D169" s="490" t="s">
        <v>126</v>
      </c>
      <c r="E169" s="406">
        <v>7132913.23</v>
      </c>
      <c r="F169" s="101"/>
      <c r="G169" s="491">
        <v>6817397.59</v>
      </c>
      <c r="H169" s="101"/>
      <c r="I169" s="406">
        <v>7607908.23</v>
      </c>
      <c r="J169" s="491">
        <v>6847684</v>
      </c>
      <c r="K169" s="101">
        <v>7577389.59</v>
      </c>
    </row>
    <row r="170" spans="1:11" s="406" customFormat="1" ht="22.5" customHeight="1">
      <c r="A170" s="489" t="s">
        <v>704</v>
      </c>
      <c r="B170" s="403" t="s">
        <v>390</v>
      </c>
      <c r="C170" s="403"/>
      <c r="D170" s="490" t="s">
        <v>246</v>
      </c>
      <c r="E170" s="406">
        <v>5167461.89</v>
      </c>
      <c r="F170" s="101"/>
      <c r="G170" s="491">
        <v>4439501.46</v>
      </c>
      <c r="H170" s="101"/>
      <c r="I170" s="406">
        <v>7417461.89</v>
      </c>
      <c r="J170" s="491">
        <v>4834411.94</v>
      </c>
      <c r="K170" s="101">
        <v>6689501.46</v>
      </c>
    </row>
    <row r="171" spans="1:11" s="406" customFormat="1" ht="22.5" customHeight="1">
      <c r="A171" s="489" t="s">
        <v>705</v>
      </c>
      <c r="B171" s="403" t="s">
        <v>946</v>
      </c>
      <c r="C171" s="403"/>
      <c r="D171" s="490" t="s">
        <v>621</v>
      </c>
      <c r="E171" s="406">
        <v>1839110.7</v>
      </c>
      <c r="F171" s="101"/>
      <c r="G171" s="491">
        <v>3390826.44</v>
      </c>
      <c r="H171" s="101"/>
      <c r="I171" s="406">
        <v>2511110.7</v>
      </c>
      <c r="J171" s="491">
        <v>3562875.18</v>
      </c>
      <c r="K171" s="101">
        <v>4062826.44</v>
      </c>
    </row>
    <row r="172" spans="1:11" s="406" customFormat="1" ht="22.5" customHeight="1">
      <c r="A172" s="489" t="s">
        <v>706</v>
      </c>
      <c r="B172" s="403" t="s">
        <v>372</v>
      </c>
      <c r="C172" s="403"/>
      <c r="D172" s="490" t="s">
        <v>245</v>
      </c>
      <c r="E172" s="406">
        <v>0</v>
      </c>
      <c r="F172" s="101"/>
      <c r="G172" s="491">
        <v>0</v>
      </c>
      <c r="H172" s="101"/>
      <c r="I172" s="406">
        <v>1008000</v>
      </c>
      <c r="J172" s="491"/>
      <c r="K172" s="101">
        <v>576000</v>
      </c>
    </row>
    <row r="173" spans="1:4" s="406" customFormat="1" ht="22.5" customHeight="1">
      <c r="A173" s="489" t="s">
        <v>707</v>
      </c>
      <c r="B173" s="403" t="s">
        <v>914</v>
      </c>
      <c r="C173" s="403"/>
      <c r="D173" s="490"/>
    </row>
    <row r="174" spans="2:11" s="406" customFormat="1" ht="22.5" customHeight="1">
      <c r="B174" s="403" t="s">
        <v>911</v>
      </c>
      <c r="C174" s="403"/>
      <c r="D174" s="490" t="s">
        <v>382</v>
      </c>
      <c r="E174" s="406">
        <v>40119916.02</v>
      </c>
      <c r="F174" s="101"/>
      <c r="G174" s="491">
        <v>39033038.42</v>
      </c>
      <c r="H174" s="101"/>
      <c r="I174" s="406">
        <v>43719916.02</v>
      </c>
      <c r="J174" s="491">
        <v>38875477.27</v>
      </c>
      <c r="K174" s="101">
        <v>42033038.42</v>
      </c>
    </row>
    <row r="175" spans="1:11" s="406" customFormat="1" ht="22.5" customHeight="1">
      <c r="A175" s="489"/>
      <c r="B175" s="403"/>
      <c r="C175" s="403"/>
      <c r="D175" s="490"/>
      <c r="F175" s="101"/>
      <c r="G175" s="491"/>
      <c r="H175" s="101"/>
      <c r="J175" s="491"/>
      <c r="K175" s="101"/>
    </row>
    <row r="176" spans="1:11" s="406" customFormat="1" ht="22.5" customHeight="1">
      <c r="A176" s="489"/>
      <c r="B176" s="403"/>
      <c r="C176" s="403"/>
      <c r="D176" s="490"/>
      <c r="F176" s="101"/>
      <c r="G176" s="491"/>
      <c r="H176" s="101"/>
      <c r="J176" s="491"/>
      <c r="K176" s="101"/>
    </row>
    <row r="177" spans="1:11" s="302" customFormat="1" ht="23.25" customHeight="1">
      <c r="A177" s="680" t="s">
        <v>1274</v>
      </c>
      <c r="B177" s="680"/>
      <c r="C177" s="680"/>
      <c r="D177" s="680"/>
      <c r="E177" s="680"/>
      <c r="F177" s="680"/>
      <c r="G177" s="680"/>
      <c r="H177" s="680"/>
      <c r="I177" s="680"/>
      <c r="J177" s="680"/>
      <c r="K177" s="680"/>
    </row>
    <row r="178" spans="1:11" s="302" customFormat="1" ht="23.25" customHeight="1">
      <c r="A178" s="408"/>
      <c r="B178" s="402"/>
      <c r="G178" s="408"/>
      <c r="H178" s="402"/>
      <c r="I178" s="409"/>
      <c r="J178" s="402"/>
      <c r="K178" s="409"/>
    </row>
    <row r="179" spans="1:11" s="302" customFormat="1" ht="23.25" customHeight="1">
      <c r="A179" s="407" t="s">
        <v>820</v>
      </c>
      <c r="E179" s="483"/>
      <c r="F179" s="483"/>
      <c r="G179" s="291"/>
      <c r="H179" s="391"/>
      <c r="K179" s="567"/>
    </row>
    <row r="180" spans="1:12" s="302" customFormat="1" ht="23.25" customHeight="1">
      <c r="A180" s="407"/>
      <c r="D180" s="550"/>
      <c r="E180" s="562"/>
      <c r="F180" s="562"/>
      <c r="G180" s="562"/>
      <c r="H180" s="397"/>
      <c r="I180" s="562"/>
      <c r="J180" s="397"/>
      <c r="K180" s="563" t="s">
        <v>592</v>
      </c>
      <c r="L180" s="564"/>
    </row>
    <row r="181" spans="1:12" s="302" customFormat="1" ht="23.25" customHeight="1">
      <c r="A181" s="407"/>
      <c r="D181" s="550"/>
      <c r="E181" s="675" t="s">
        <v>862</v>
      </c>
      <c r="F181" s="675"/>
      <c r="G181" s="675"/>
      <c r="H181" s="397"/>
      <c r="I181" s="675" t="s">
        <v>863</v>
      </c>
      <c r="J181" s="675"/>
      <c r="K181" s="675"/>
      <c r="L181" s="564"/>
    </row>
    <row r="182" spans="1:12" s="302" customFormat="1" ht="23.25" customHeight="1">
      <c r="A182" s="407"/>
      <c r="D182" s="550"/>
      <c r="E182" s="679" t="s">
        <v>514</v>
      </c>
      <c r="F182" s="679"/>
      <c r="G182" s="679"/>
      <c r="H182" s="397"/>
      <c r="I182" s="679" t="s">
        <v>864</v>
      </c>
      <c r="J182" s="679"/>
      <c r="K182" s="679"/>
      <c r="L182" s="564"/>
    </row>
    <row r="183" spans="1:12" s="302" customFormat="1" ht="23.25" customHeight="1">
      <c r="A183" s="407"/>
      <c r="D183" s="555" t="s">
        <v>349</v>
      </c>
      <c r="E183" s="396" t="s">
        <v>236</v>
      </c>
      <c r="F183" s="397"/>
      <c r="G183" s="396" t="s">
        <v>141</v>
      </c>
      <c r="H183" s="406"/>
      <c r="I183" s="396" t="s">
        <v>236</v>
      </c>
      <c r="J183" s="397"/>
      <c r="K183" s="396" t="s">
        <v>141</v>
      </c>
      <c r="L183" s="406"/>
    </row>
    <row r="184" spans="1:11" s="406" customFormat="1" ht="23.25" customHeight="1">
      <c r="A184" s="489" t="s">
        <v>708</v>
      </c>
      <c r="B184" s="403" t="s">
        <v>396</v>
      </c>
      <c r="C184" s="403"/>
      <c r="D184" s="490" t="s">
        <v>246</v>
      </c>
      <c r="E184" s="406">
        <v>202908.8</v>
      </c>
      <c r="F184" s="101"/>
      <c r="G184" s="491">
        <v>179414.18</v>
      </c>
      <c r="H184" s="101"/>
      <c r="I184" s="406">
        <v>402908.8</v>
      </c>
      <c r="J184" s="491"/>
      <c r="K184" s="101">
        <v>779414.18</v>
      </c>
    </row>
    <row r="185" spans="1:11" s="406" customFormat="1" ht="23.25" customHeight="1">
      <c r="A185" s="489" t="s">
        <v>709</v>
      </c>
      <c r="B185" s="403" t="s">
        <v>915</v>
      </c>
      <c r="C185" s="403"/>
      <c r="D185" s="490"/>
      <c r="F185" s="101"/>
      <c r="G185" s="491"/>
      <c r="H185" s="101"/>
      <c r="J185" s="491"/>
      <c r="K185" s="101"/>
    </row>
    <row r="186" spans="2:11" s="406" customFormat="1" ht="23.25" customHeight="1">
      <c r="B186" s="403" t="s">
        <v>916</v>
      </c>
      <c r="C186" s="403"/>
      <c r="D186" s="490" t="s">
        <v>246</v>
      </c>
      <c r="E186" s="406">
        <v>78497633.64</v>
      </c>
      <c r="F186" s="101"/>
      <c r="G186" s="101">
        <v>53915684.78</v>
      </c>
      <c r="H186" s="101"/>
      <c r="I186" s="406">
        <v>78497633.64</v>
      </c>
      <c r="J186" s="491">
        <v>38517788.84</v>
      </c>
      <c r="K186" s="101">
        <v>53915684.78</v>
      </c>
    </row>
    <row r="187" spans="1:11" s="406" customFormat="1" ht="23.25" customHeight="1">
      <c r="A187" s="489" t="s">
        <v>710</v>
      </c>
      <c r="B187" s="403" t="s">
        <v>947</v>
      </c>
      <c r="C187" s="403"/>
      <c r="D187" s="490" t="s">
        <v>246</v>
      </c>
      <c r="E187" s="406">
        <v>5047200</v>
      </c>
      <c r="F187" s="101"/>
      <c r="G187" s="101">
        <v>4521885.51</v>
      </c>
      <c r="H187" s="101"/>
      <c r="I187" s="406">
        <v>5047200</v>
      </c>
      <c r="J187" s="491">
        <v>5139810.75</v>
      </c>
      <c r="K187" s="101">
        <v>4521885.51</v>
      </c>
    </row>
    <row r="188" spans="1:11" s="406" customFormat="1" ht="23.25" customHeight="1">
      <c r="A188" s="489" t="s">
        <v>711</v>
      </c>
      <c r="B188" s="403" t="s">
        <v>399</v>
      </c>
      <c r="C188" s="403"/>
      <c r="D188" s="490" t="s">
        <v>245</v>
      </c>
      <c r="E188" s="406">
        <v>1797792</v>
      </c>
      <c r="F188" s="101"/>
      <c r="G188" s="101">
        <v>1762829.38</v>
      </c>
      <c r="H188" s="101"/>
      <c r="I188" s="406">
        <v>1797792</v>
      </c>
      <c r="J188" s="491">
        <v>1767904.15</v>
      </c>
      <c r="K188" s="101">
        <v>1762829.38</v>
      </c>
    </row>
    <row r="189" spans="1:11" s="406" customFormat="1" ht="23.25" customHeight="1">
      <c r="A189" s="489" t="s">
        <v>712</v>
      </c>
      <c r="B189" s="403" t="s">
        <v>948</v>
      </c>
      <c r="C189" s="403"/>
      <c r="D189" s="490" t="s">
        <v>246</v>
      </c>
      <c r="E189" s="406">
        <v>3878623.08</v>
      </c>
      <c r="F189" s="101"/>
      <c r="G189" s="491">
        <v>3969911.38</v>
      </c>
      <c r="H189" s="101"/>
      <c r="I189" s="406">
        <v>3878623.08</v>
      </c>
      <c r="J189" s="491">
        <v>3978576.49</v>
      </c>
      <c r="K189" s="101">
        <v>3969911.38</v>
      </c>
    </row>
    <row r="190" spans="1:11" s="406" customFormat="1" ht="23.25" customHeight="1">
      <c r="A190" s="489" t="s">
        <v>713</v>
      </c>
      <c r="B190" s="403" t="s">
        <v>401</v>
      </c>
      <c r="C190" s="403"/>
      <c r="D190" s="490" t="s">
        <v>245</v>
      </c>
      <c r="E190" s="406">
        <v>16897875.87</v>
      </c>
      <c r="F190" s="101"/>
      <c r="G190" s="491">
        <v>19455206.46</v>
      </c>
      <c r="H190" s="101"/>
      <c r="I190" s="406">
        <v>16897875.87</v>
      </c>
      <c r="J190" s="491">
        <v>22754271.68</v>
      </c>
      <c r="K190" s="101">
        <v>19455206.46</v>
      </c>
    </row>
    <row r="191" spans="1:4" s="406" customFormat="1" ht="23.25" customHeight="1">
      <c r="A191" s="489" t="s">
        <v>714</v>
      </c>
      <c r="B191" s="403" t="s">
        <v>135</v>
      </c>
      <c r="C191" s="403"/>
      <c r="D191" s="490"/>
    </row>
    <row r="192" spans="2:11" s="406" customFormat="1" ht="23.25" customHeight="1">
      <c r="B192" s="403" t="s">
        <v>949</v>
      </c>
      <c r="D192" s="490" t="s">
        <v>382</v>
      </c>
      <c r="E192" s="406">
        <v>30907271.98</v>
      </c>
      <c r="F192" s="101"/>
      <c r="G192" s="491">
        <v>51300171.17</v>
      </c>
      <c r="H192" s="101"/>
      <c r="I192" s="406">
        <v>30907271.98</v>
      </c>
      <c r="J192" s="491"/>
      <c r="K192" s="101">
        <v>51300171.17</v>
      </c>
    </row>
    <row r="193" spans="1:11" s="406" customFormat="1" ht="23.25" customHeight="1">
      <c r="A193" s="489" t="s">
        <v>715</v>
      </c>
      <c r="B193" s="403" t="s">
        <v>950</v>
      </c>
      <c r="C193" s="403"/>
      <c r="D193" s="490" t="s">
        <v>126</v>
      </c>
      <c r="E193" s="406">
        <v>5009125.57</v>
      </c>
      <c r="F193" s="101"/>
      <c r="G193" s="493">
        <v>4953265.29</v>
      </c>
      <c r="H193" s="101"/>
      <c r="I193" s="406">
        <v>5009125.57</v>
      </c>
      <c r="J193" s="491">
        <v>5400324.96</v>
      </c>
      <c r="K193" s="101">
        <v>4953265.29</v>
      </c>
    </row>
    <row r="194" spans="1:11" s="406" customFormat="1" ht="23.25" customHeight="1">
      <c r="A194" s="489" t="s">
        <v>716</v>
      </c>
      <c r="B194" s="403" t="s">
        <v>403</v>
      </c>
      <c r="C194" s="403"/>
      <c r="D194" s="490" t="s">
        <v>246</v>
      </c>
      <c r="E194" s="406">
        <v>8744174.78</v>
      </c>
      <c r="F194" s="101"/>
      <c r="G194" s="491">
        <v>9594022.75</v>
      </c>
      <c r="H194" s="101"/>
      <c r="I194" s="406">
        <v>8744174.78</v>
      </c>
      <c r="J194" s="491">
        <v>6320668.93</v>
      </c>
      <c r="K194" s="101">
        <v>9594022.75</v>
      </c>
    </row>
    <row r="195" spans="1:11" s="406" customFormat="1" ht="23.25" customHeight="1">
      <c r="A195" s="489" t="s">
        <v>717</v>
      </c>
      <c r="B195" s="403" t="s">
        <v>917</v>
      </c>
      <c r="C195" s="403"/>
      <c r="D195" s="490" t="s">
        <v>245</v>
      </c>
      <c r="E195" s="406">
        <v>7863691.65</v>
      </c>
      <c r="F195" s="101"/>
      <c r="G195" s="491">
        <f>8090159.58+12072</f>
        <v>8102231.58</v>
      </c>
      <c r="H195" s="101"/>
      <c r="I195" s="406">
        <v>7863691.65</v>
      </c>
      <c r="J195" s="491">
        <v>7760167.94</v>
      </c>
      <c r="K195" s="491">
        <f>8090159.58+12072</f>
        <v>8102231.58</v>
      </c>
    </row>
    <row r="196" spans="1:11" s="406" customFormat="1" ht="23.25" customHeight="1">
      <c r="A196" s="489" t="s">
        <v>718</v>
      </c>
      <c r="B196" s="403" t="s">
        <v>404</v>
      </c>
      <c r="D196" s="490" t="s">
        <v>245</v>
      </c>
      <c r="E196" s="406">
        <v>2956218.43</v>
      </c>
      <c r="F196" s="101"/>
      <c r="G196" s="491">
        <f>1814481.48+1571731.34</f>
        <v>3386212.8200000003</v>
      </c>
      <c r="H196" s="101"/>
      <c r="I196" s="406">
        <v>2956218.43</v>
      </c>
      <c r="J196" s="491">
        <v>3609735.33</v>
      </c>
      <c r="K196" s="491">
        <f>1814481.48+1571731.34</f>
        <v>3386212.8200000003</v>
      </c>
    </row>
    <row r="197" spans="1:4" s="406" customFormat="1" ht="23.25" customHeight="1">
      <c r="A197" s="489" t="s">
        <v>719</v>
      </c>
      <c r="B197" s="403" t="s">
        <v>951</v>
      </c>
      <c r="D197" s="490"/>
    </row>
    <row r="198" spans="2:11" s="406" customFormat="1" ht="23.25" customHeight="1">
      <c r="B198" s="403" t="s">
        <v>911</v>
      </c>
      <c r="D198" s="490" t="s">
        <v>246</v>
      </c>
      <c r="E198" s="406">
        <v>2412913.02</v>
      </c>
      <c r="F198" s="101"/>
      <c r="G198" s="491">
        <v>3252995.98</v>
      </c>
      <c r="H198" s="101"/>
      <c r="I198" s="406">
        <v>2412913.02</v>
      </c>
      <c r="J198" s="491">
        <v>2621686.62</v>
      </c>
      <c r="K198" s="101">
        <v>3252995.98</v>
      </c>
    </row>
    <row r="199" spans="1:11" s="406" customFormat="1" ht="23.25" customHeight="1">
      <c r="A199" s="489" t="s">
        <v>720</v>
      </c>
      <c r="B199" s="403" t="s">
        <v>952</v>
      </c>
      <c r="D199" s="490"/>
      <c r="F199" s="101"/>
      <c r="G199" s="491"/>
      <c r="H199" s="101"/>
      <c r="J199" s="491"/>
      <c r="K199" s="101"/>
    </row>
    <row r="200" spans="2:11" s="406" customFormat="1" ht="23.25" customHeight="1">
      <c r="B200" s="403" t="s">
        <v>911</v>
      </c>
      <c r="D200" s="490" t="s">
        <v>246</v>
      </c>
      <c r="E200" s="406">
        <v>11568118.58</v>
      </c>
      <c r="F200" s="101"/>
      <c r="G200" s="491">
        <v>11582586.16</v>
      </c>
      <c r="H200" s="101"/>
      <c r="I200" s="406">
        <v>11568118.58</v>
      </c>
      <c r="J200" s="491">
        <v>13505441.61</v>
      </c>
      <c r="K200" s="101">
        <v>11582586.16</v>
      </c>
    </row>
    <row r="201" spans="1:11" s="406" customFormat="1" ht="23.25" customHeight="1">
      <c r="A201" s="489" t="s">
        <v>722</v>
      </c>
      <c r="B201" s="403" t="s">
        <v>937</v>
      </c>
      <c r="D201" s="490"/>
      <c r="E201" s="491"/>
      <c r="F201" s="101"/>
      <c r="G201" s="101"/>
      <c r="H201" s="101"/>
      <c r="I201" s="101"/>
      <c r="J201" s="491"/>
      <c r="K201" s="101"/>
    </row>
    <row r="202" spans="2:11" s="406" customFormat="1" ht="23.25" customHeight="1">
      <c r="B202" s="403" t="s">
        <v>911</v>
      </c>
      <c r="D202" s="490" t="s">
        <v>382</v>
      </c>
      <c r="E202" s="406">
        <v>242095451.23</v>
      </c>
      <c r="F202" s="101"/>
      <c r="G202" s="491">
        <v>117347301.89</v>
      </c>
      <c r="H202" s="101"/>
      <c r="I202" s="406">
        <v>242095451.23</v>
      </c>
      <c r="J202" s="491">
        <v>105263595.15</v>
      </c>
      <c r="K202" s="101">
        <v>117347301.89</v>
      </c>
    </row>
    <row r="203" spans="1:11" s="406" customFormat="1" ht="23.25" customHeight="1">
      <c r="A203" s="489" t="s">
        <v>723</v>
      </c>
      <c r="B203" s="403" t="s">
        <v>406</v>
      </c>
      <c r="D203" s="490" t="s">
        <v>382</v>
      </c>
      <c r="E203" s="406">
        <v>68244281.5</v>
      </c>
      <c r="F203" s="101"/>
      <c r="G203" s="491">
        <v>60652108.68</v>
      </c>
      <c r="H203" s="101"/>
      <c r="I203" s="406">
        <v>68244281.5</v>
      </c>
      <c r="J203" s="491">
        <v>58190086.88</v>
      </c>
      <c r="K203" s="101">
        <v>60652108.68</v>
      </c>
    </row>
    <row r="204" spans="1:4" s="406" customFormat="1" ht="23.25" customHeight="1">
      <c r="A204" s="489" t="s">
        <v>724</v>
      </c>
      <c r="B204" s="403" t="s">
        <v>83</v>
      </c>
      <c r="D204" s="490"/>
    </row>
    <row r="205" spans="2:11" s="406" customFormat="1" ht="23.25" customHeight="1">
      <c r="B205" s="403" t="s">
        <v>911</v>
      </c>
      <c r="D205" s="490" t="s">
        <v>382</v>
      </c>
      <c r="E205" s="406">
        <v>4703197</v>
      </c>
      <c r="F205" s="101"/>
      <c r="G205" s="491">
        <v>4487257.18</v>
      </c>
      <c r="H205" s="101"/>
      <c r="I205" s="406">
        <v>4703197</v>
      </c>
      <c r="J205" s="491"/>
      <c r="K205" s="101">
        <v>4487257.18</v>
      </c>
    </row>
    <row r="206" spans="1:11" s="406" customFormat="1" ht="23.25" customHeight="1">
      <c r="A206" s="489" t="s">
        <v>726</v>
      </c>
      <c r="B206" s="403" t="s">
        <v>185</v>
      </c>
      <c r="D206" s="490"/>
      <c r="F206" s="101"/>
      <c r="G206" s="491"/>
      <c r="H206" s="403"/>
      <c r="J206" s="491">
        <v>13885469.02</v>
      </c>
      <c r="K206" s="101"/>
    </row>
    <row r="207" spans="2:11" s="406" customFormat="1" ht="23.25" customHeight="1">
      <c r="B207" s="403" t="s">
        <v>911</v>
      </c>
      <c r="D207" s="490" t="s">
        <v>246</v>
      </c>
      <c r="E207" s="406">
        <v>58321045</v>
      </c>
      <c r="F207" s="101"/>
      <c r="G207" s="491">
        <v>51478594.75</v>
      </c>
      <c r="H207" s="403"/>
      <c r="I207" s="406">
        <v>58321045</v>
      </c>
      <c r="J207" s="491">
        <v>34265957.38</v>
      </c>
      <c r="K207" s="101">
        <v>51478594.75</v>
      </c>
    </row>
    <row r="208" spans="1:11" s="406" customFormat="1" ht="23.25" customHeight="1">
      <c r="A208" s="489" t="s">
        <v>727</v>
      </c>
      <c r="B208" s="403" t="s">
        <v>516</v>
      </c>
      <c r="D208" s="490"/>
      <c r="F208" s="101"/>
      <c r="G208" s="491"/>
      <c r="H208" s="403"/>
      <c r="J208" s="491"/>
      <c r="K208" s="101"/>
    </row>
    <row r="209" spans="2:11" s="406" customFormat="1" ht="23.25" customHeight="1">
      <c r="B209" s="403" t="s">
        <v>830</v>
      </c>
      <c r="D209" s="490"/>
      <c r="F209" s="101"/>
      <c r="G209" s="491"/>
      <c r="H209" s="403"/>
      <c r="J209" s="491"/>
      <c r="K209" s="101"/>
    </row>
    <row r="210" spans="2:11" s="406" customFormat="1" ht="23.25" customHeight="1">
      <c r="B210" s="403" t="s">
        <v>911</v>
      </c>
      <c r="D210" s="490" t="s">
        <v>246</v>
      </c>
      <c r="E210" s="406">
        <v>11601506.05</v>
      </c>
      <c r="F210" s="101"/>
      <c r="G210" s="491">
        <v>13137057.09</v>
      </c>
      <c r="H210" s="403"/>
      <c r="I210" s="406">
        <v>11601506.05</v>
      </c>
      <c r="J210" s="491"/>
      <c r="K210" s="101">
        <v>13137057.09</v>
      </c>
    </row>
    <row r="211" spans="1:4" s="406" customFormat="1" ht="23.25" customHeight="1">
      <c r="A211" s="489" t="s">
        <v>728</v>
      </c>
      <c r="B211" s="403" t="s">
        <v>186</v>
      </c>
      <c r="D211" s="490"/>
    </row>
    <row r="212" spans="2:11" s="406" customFormat="1" ht="23.25" customHeight="1">
      <c r="B212" s="403" t="s">
        <v>911</v>
      </c>
      <c r="D212" s="490" t="s">
        <v>357</v>
      </c>
      <c r="E212" s="406">
        <v>16912070.52</v>
      </c>
      <c r="F212" s="101"/>
      <c r="G212" s="491">
        <v>18612285.79</v>
      </c>
      <c r="H212" s="403"/>
      <c r="I212" s="406">
        <v>16912070.52</v>
      </c>
      <c r="J212" s="491"/>
      <c r="K212" s="101">
        <v>18612285.79</v>
      </c>
    </row>
    <row r="213" spans="2:11" s="406" customFormat="1" ht="23.25" customHeight="1">
      <c r="B213" s="403"/>
      <c r="D213" s="490"/>
      <c r="F213" s="101"/>
      <c r="G213" s="491"/>
      <c r="H213" s="403"/>
      <c r="J213" s="491"/>
      <c r="K213" s="101"/>
    </row>
    <row r="214" spans="2:11" s="406" customFormat="1" ht="18" customHeight="1">
      <c r="B214" s="403"/>
      <c r="D214" s="490"/>
      <c r="F214" s="101"/>
      <c r="G214" s="491"/>
      <c r="H214" s="403"/>
      <c r="J214" s="491"/>
      <c r="K214" s="101"/>
    </row>
    <row r="215" spans="1:11" s="302" customFormat="1" ht="21.75" customHeight="1">
      <c r="A215" s="680" t="s">
        <v>484</v>
      </c>
      <c r="B215" s="680"/>
      <c r="C215" s="680"/>
      <c r="D215" s="680"/>
      <c r="E215" s="680"/>
      <c r="F215" s="680"/>
      <c r="G215" s="680"/>
      <c r="H215" s="680"/>
      <c r="I215" s="680"/>
      <c r="J215" s="680"/>
      <c r="K215" s="680"/>
    </row>
    <row r="216" spans="1:11" s="302" customFormat="1" ht="21.75" customHeight="1">
      <c r="A216" s="408"/>
      <c r="B216" s="402"/>
      <c r="G216" s="408"/>
      <c r="H216" s="402"/>
      <c r="I216" s="409"/>
      <c r="J216" s="402"/>
      <c r="K216" s="409"/>
    </row>
    <row r="217" spans="1:11" s="302" customFormat="1" ht="21.75" customHeight="1">
      <c r="A217" s="407" t="s">
        <v>820</v>
      </c>
      <c r="E217" s="483"/>
      <c r="F217" s="483"/>
      <c r="G217" s="291"/>
      <c r="H217" s="391"/>
      <c r="K217" s="567"/>
    </row>
    <row r="218" spans="1:12" s="302" customFormat="1" ht="21.75" customHeight="1">
      <c r="A218" s="407"/>
      <c r="D218" s="550"/>
      <c r="E218" s="562"/>
      <c r="F218" s="562"/>
      <c r="G218" s="562"/>
      <c r="H218" s="397"/>
      <c r="I218" s="562"/>
      <c r="J218" s="397"/>
      <c r="K218" s="563" t="s">
        <v>592</v>
      </c>
      <c r="L218" s="564"/>
    </row>
    <row r="219" spans="1:12" s="302" customFormat="1" ht="21.75" customHeight="1">
      <c r="A219" s="407"/>
      <c r="D219" s="550"/>
      <c r="E219" s="675" t="s">
        <v>862</v>
      </c>
      <c r="F219" s="675"/>
      <c r="G219" s="675"/>
      <c r="H219" s="397"/>
      <c r="I219" s="675" t="s">
        <v>863</v>
      </c>
      <c r="J219" s="675"/>
      <c r="K219" s="675"/>
      <c r="L219" s="564"/>
    </row>
    <row r="220" spans="1:12" s="302" customFormat="1" ht="21.75" customHeight="1">
      <c r="A220" s="407"/>
      <c r="D220" s="550"/>
      <c r="E220" s="679" t="s">
        <v>514</v>
      </c>
      <c r="F220" s="679"/>
      <c r="G220" s="679"/>
      <c r="H220" s="397"/>
      <c r="I220" s="679" t="s">
        <v>864</v>
      </c>
      <c r="J220" s="679"/>
      <c r="K220" s="679"/>
      <c r="L220" s="564"/>
    </row>
    <row r="221" spans="1:12" s="302" customFormat="1" ht="21.75" customHeight="1">
      <c r="A221" s="407"/>
      <c r="D221" s="555" t="s">
        <v>349</v>
      </c>
      <c r="E221" s="396" t="s">
        <v>236</v>
      </c>
      <c r="F221" s="397"/>
      <c r="G221" s="396" t="s">
        <v>141</v>
      </c>
      <c r="H221" s="406"/>
      <c r="I221" s="396" t="s">
        <v>236</v>
      </c>
      <c r="J221" s="397"/>
      <c r="K221" s="396" t="s">
        <v>141</v>
      </c>
      <c r="L221" s="406"/>
    </row>
    <row r="222" spans="1:4" s="406" customFormat="1" ht="21.75" customHeight="1">
      <c r="A222" s="489" t="s">
        <v>729</v>
      </c>
      <c r="B222" s="403" t="s">
        <v>187</v>
      </c>
      <c r="D222" s="490"/>
    </row>
    <row r="223" spans="2:11" s="406" customFormat="1" ht="21.75" customHeight="1">
      <c r="B223" s="403" t="s">
        <v>911</v>
      </c>
      <c r="D223" s="490" t="s">
        <v>246</v>
      </c>
      <c r="E223" s="406">
        <v>3000000</v>
      </c>
      <c r="F223" s="101"/>
      <c r="G223" s="491">
        <v>750000</v>
      </c>
      <c r="H223" s="403"/>
      <c r="I223" s="406">
        <v>3000000</v>
      </c>
      <c r="J223" s="491"/>
      <c r="K223" s="101">
        <v>750000</v>
      </c>
    </row>
    <row r="224" spans="1:11" s="406" customFormat="1" ht="21.75" customHeight="1">
      <c r="A224" s="489" t="s">
        <v>730</v>
      </c>
      <c r="B224" s="403" t="s">
        <v>953</v>
      </c>
      <c r="D224" s="490" t="s">
        <v>255</v>
      </c>
      <c r="E224" s="406">
        <v>2340000</v>
      </c>
      <c r="F224" s="101"/>
      <c r="G224" s="491">
        <v>1260000</v>
      </c>
      <c r="H224" s="403"/>
      <c r="I224" s="406">
        <v>2340000</v>
      </c>
      <c r="J224" s="491"/>
      <c r="K224" s="101">
        <v>1260000</v>
      </c>
    </row>
    <row r="225" spans="1:4" s="406" customFormat="1" ht="21.75" customHeight="1">
      <c r="A225" s="489" t="s">
        <v>731</v>
      </c>
      <c r="B225" s="403" t="s">
        <v>919</v>
      </c>
      <c r="D225" s="490"/>
    </row>
    <row r="226" spans="2:11" s="406" customFormat="1" ht="21.75" customHeight="1">
      <c r="B226" s="403" t="s">
        <v>911</v>
      </c>
      <c r="D226" s="490" t="s">
        <v>246</v>
      </c>
      <c r="E226" s="406">
        <v>13383450.19</v>
      </c>
      <c r="F226" s="101"/>
      <c r="G226" s="491">
        <v>13241280.58</v>
      </c>
      <c r="H226" s="403"/>
      <c r="I226" s="406">
        <v>13383450.19</v>
      </c>
      <c r="J226" s="491">
        <v>13019802.03</v>
      </c>
      <c r="K226" s="101">
        <v>13241280.58</v>
      </c>
    </row>
    <row r="227" spans="1:11" s="406" customFormat="1" ht="21.75" customHeight="1">
      <c r="A227" s="489" t="s">
        <v>732</v>
      </c>
      <c r="B227" s="403" t="s">
        <v>407</v>
      </c>
      <c r="D227" s="490" t="s">
        <v>126</v>
      </c>
      <c r="E227" s="406">
        <v>37310213.58</v>
      </c>
      <c r="F227" s="101"/>
      <c r="G227" s="491">
        <v>42825647.13</v>
      </c>
      <c r="H227" s="403"/>
      <c r="I227" s="406">
        <v>37310213.58</v>
      </c>
      <c r="J227" s="491">
        <v>40825886.2</v>
      </c>
      <c r="K227" s="101">
        <v>42825647.13</v>
      </c>
    </row>
    <row r="228" spans="1:11" s="406" customFormat="1" ht="21.75" customHeight="1">
      <c r="A228" s="489" t="s">
        <v>733</v>
      </c>
      <c r="B228" s="403" t="s">
        <v>408</v>
      </c>
      <c r="D228" s="490" t="s">
        <v>382</v>
      </c>
      <c r="E228" s="406">
        <v>6359238.64</v>
      </c>
      <c r="F228" s="101"/>
      <c r="G228" s="491">
        <v>6767347.75</v>
      </c>
      <c r="H228" s="403"/>
      <c r="I228" s="406">
        <v>6359238.64</v>
      </c>
      <c r="J228" s="491">
        <v>7703984.5</v>
      </c>
      <c r="K228" s="101">
        <v>6767347.75</v>
      </c>
    </row>
    <row r="229" spans="1:11" s="406" customFormat="1" ht="21.75" customHeight="1">
      <c r="A229" s="489" t="s">
        <v>734</v>
      </c>
      <c r="B229" s="403" t="s">
        <v>410</v>
      </c>
      <c r="D229" s="490" t="s">
        <v>382</v>
      </c>
      <c r="E229" s="406">
        <v>59728525.59</v>
      </c>
      <c r="F229" s="101"/>
      <c r="G229" s="491">
        <v>65990327.33</v>
      </c>
      <c r="H229" s="403"/>
      <c r="I229" s="406">
        <v>59728525.59</v>
      </c>
      <c r="J229" s="491">
        <v>54721646.92</v>
      </c>
      <c r="K229" s="491">
        <v>65990327.33</v>
      </c>
    </row>
    <row r="230" spans="1:11" s="406" customFormat="1" ht="21.75" customHeight="1">
      <c r="A230" s="489" t="s">
        <v>735</v>
      </c>
      <c r="B230" s="403" t="s">
        <v>954</v>
      </c>
      <c r="D230" s="490" t="s">
        <v>126</v>
      </c>
      <c r="E230" s="406">
        <v>7707434.92</v>
      </c>
      <c r="F230" s="101"/>
      <c r="G230" s="491">
        <v>10707034.35</v>
      </c>
      <c r="H230" s="403"/>
      <c r="I230" s="406">
        <v>7707434.92</v>
      </c>
      <c r="J230" s="491">
        <v>8737292.19</v>
      </c>
      <c r="K230" s="101">
        <v>10707034.35</v>
      </c>
    </row>
    <row r="231" spans="1:4" s="406" customFormat="1" ht="21.75" customHeight="1">
      <c r="A231" s="489" t="s">
        <v>737</v>
      </c>
      <c r="B231" s="403" t="s">
        <v>191</v>
      </c>
      <c r="D231" s="490"/>
    </row>
    <row r="232" spans="2:11" s="406" customFormat="1" ht="21.75" customHeight="1">
      <c r="B232" s="403" t="s">
        <v>911</v>
      </c>
      <c r="D232" s="490" t="s">
        <v>246</v>
      </c>
      <c r="E232" s="406">
        <v>15294628.2</v>
      </c>
      <c r="F232" s="101"/>
      <c r="G232" s="491">
        <v>19030059.62</v>
      </c>
      <c r="H232" s="403"/>
      <c r="I232" s="406">
        <v>15294628.2</v>
      </c>
      <c r="J232" s="491">
        <v>13637192.73</v>
      </c>
      <c r="K232" s="101">
        <v>19030059.62</v>
      </c>
    </row>
    <row r="233" spans="1:11" s="406" customFormat="1" ht="21.75" customHeight="1">
      <c r="A233" s="489" t="s">
        <v>738</v>
      </c>
      <c r="B233" s="403" t="s">
        <v>411</v>
      </c>
      <c r="D233" s="490" t="s">
        <v>371</v>
      </c>
      <c r="E233" s="406">
        <v>9066456.67</v>
      </c>
      <c r="F233" s="101"/>
      <c r="G233" s="491">
        <v>9102107.39</v>
      </c>
      <c r="H233" s="403"/>
      <c r="I233" s="406">
        <v>9066456.67</v>
      </c>
      <c r="J233" s="491">
        <v>10774764.68</v>
      </c>
      <c r="K233" s="101">
        <v>9102107.39</v>
      </c>
    </row>
    <row r="234" spans="1:11" s="406" customFormat="1" ht="21.75" customHeight="1">
      <c r="A234" s="489" t="s">
        <v>739</v>
      </c>
      <c r="B234" s="403" t="s">
        <v>107</v>
      </c>
      <c r="D234" s="490" t="s">
        <v>246</v>
      </c>
      <c r="E234" s="406">
        <v>19631948.15</v>
      </c>
      <c r="F234" s="101"/>
      <c r="G234" s="491">
        <v>27454937.44</v>
      </c>
      <c r="H234" s="403"/>
      <c r="I234" s="406">
        <v>19631948.15</v>
      </c>
      <c r="J234" s="491">
        <v>1076873.18</v>
      </c>
      <c r="K234" s="101">
        <v>27454937.44</v>
      </c>
    </row>
    <row r="235" spans="1:11" s="406" customFormat="1" ht="21.75" customHeight="1">
      <c r="A235" s="489" t="s">
        <v>740</v>
      </c>
      <c r="B235" s="403" t="s">
        <v>922</v>
      </c>
      <c r="D235" s="490"/>
      <c r="F235" s="101"/>
      <c r="G235" s="491"/>
      <c r="H235" s="403"/>
      <c r="J235" s="491"/>
      <c r="K235" s="101"/>
    </row>
    <row r="236" spans="2:11" s="406" customFormat="1" ht="21.75" customHeight="1">
      <c r="B236" s="403" t="s">
        <v>911</v>
      </c>
      <c r="D236" s="490" t="s">
        <v>371</v>
      </c>
      <c r="E236" s="406">
        <v>8683193.68</v>
      </c>
      <c r="F236" s="101"/>
      <c r="G236" s="491">
        <v>8516196.66</v>
      </c>
      <c r="H236" s="403"/>
      <c r="I236" s="406">
        <v>8683193.68</v>
      </c>
      <c r="J236" s="491">
        <v>35813558.85</v>
      </c>
      <c r="K236" s="101">
        <v>8516196.66</v>
      </c>
    </row>
    <row r="237" spans="1:11" s="406" customFormat="1" ht="21.75" customHeight="1">
      <c r="A237" s="489" t="s">
        <v>741</v>
      </c>
      <c r="B237" s="398" t="s">
        <v>264</v>
      </c>
      <c r="D237" s="490"/>
      <c r="F237" s="101"/>
      <c r="G237" s="491"/>
      <c r="H237" s="403"/>
      <c r="J237" s="491"/>
      <c r="K237" s="101"/>
    </row>
    <row r="238" spans="1:11" s="406" customFormat="1" ht="21.75" customHeight="1">
      <c r="A238" s="489"/>
      <c r="B238" s="398" t="s">
        <v>1102</v>
      </c>
      <c r="D238" s="490"/>
      <c r="F238" s="101"/>
      <c r="G238" s="491"/>
      <c r="H238" s="403"/>
      <c r="J238" s="491"/>
      <c r="K238" s="101"/>
    </row>
    <row r="239" spans="1:11" s="406" customFormat="1" ht="21.75" customHeight="1">
      <c r="A239" s="492"/>
      <c r="B239" s="398" t="s">
        <v>923</v>
      </c>
      <c r="D239" s="490" t="s">
        <v>255</v>
      </c>
      <c r="E239" s="406">
        <v>62660303.88</v>
      </c>
      <c r="F239" s="101"/>
      <c r="G239" s="491">
        <v>74336755.41</v>
      </c>
      <c r="H239" s="403"/>
      <c r="I239" s="406">
        <v>62660303.88</v>
      </c>
      <c r="J239" s="491"/>
      <c r="K239" s="101">
        <v>74336755.41</v>
      </c>
    </row>
    <row r="240" spans="1:12" s="406" customFormat="1" ht="21.75" customHeight="1">
      <c r="A240" s="489" t="s">
        <v>742</v>
      </c>
      <c r="B240" s="403" t="s">
        <v>939</v>
      </c>
      <c r="D240" s="490" t="s">
        <v>929</v>
      </c>
      <c r="E240" s="406">
        <v>6494943.97</v>
      </c>
      <c r="F240" s="101"/>
      <c r="G240" s="491">
        <v>6341172.47</v>
      </c>
      <c r="H240" s="403"/>
      <c r="I240" s="406">
        <v>6494943.97</v>
      </c>
      <c r="J240" s="491">
        <v>96123505.47</v>
      </c>
      <c r="K240" s="101">
        <v>6341172.47</v>
      </c>
      <c r="L240" s="403"/>
    </row>
    <row r="241" spans="1:12" s="406" customFormat="1" ht="21.75" customHeight="1">
      <c r="A241" s="489" t="s">
        <v>743</v>
      </c>
      <c r="B241" s="403" t="s">
        <v>924</v>
      </c>
      <c r="L241" s="403"/>
    </row>
    <row r="242" spans="2:11" s="406" customFormat="1" ht="21.75" customHeight="1">
      <c r="B242" s="403" t="s">
        <v>911</v>
      </c>
      <c r="D242" s="490" t="s">
        <v>371</v>
      </c>
      <c r="E242" s="491">
        <v>189455930.03</v>
      </c>
      <c r="F242" s="101"/>
      <c r="G242" s="491">
        <v>110424126.08</v>
      </c>
      <c r="H242" s="403"/>
      <c r="I242" s="491">
        <v>189455930.03</v>
      </c>
      <c r="J242" s="101"/>
      <c r="K242" s="491">
        <v>110424126.08</v>
      </c>
    </row>
    <row r="243" spans="1:12" s="406" customFormat="1" ht="21.75" customHeight="1">
      <c r="A243" s="489" t="s">
        <v>744</v>
      </c>
      <c r="B243" s="403" t="s">
        <v>831</v>
      </c>
      <c r="L243" s="403"/>
    </row>
    <row r="244" spans="2:12" s="406" customFormat="1" ht="21.75" customHeight="1">
      <c r="B244" s="403" t="s">
        <v>911</v>
      </c>
      <c r="D244" s="490" t="s">
        <v>382</v>
      </c>
      <c r="E244" s="491">
        <v>455588.94</v>
      </c>
      <c r="F244" s="101"/>
      <c r="G244" s="491">
        <v>852830.12</v>
      </c>
      <c r="H244" s="403"/>
      <c r="I244" s="491">
        <v>455588.94</v>
      </c>
      <c r="J244" s="101"/>
      <c r="K244" s="491">
        <v>852830.12</v>
      </c>
      <c r="L244" s="403"/>
    </row>
    <row r="245" spans="1:12" s="406" customFormat="1" ht="21.75" customHeight="1">
      <c r="A245" s="489" t="s">
        <v>745</v>
      </c>
      <c r="B245" s="403" t="s">
        <v>955</v>
      </c>
      <c r="D245" s="490" t="s">
        <v>246</v>
      </c>
      <c r="E245" s="491">
        <v>3213601.24</v>
      </c>
      <c r="F245" s="101"/>
      <c r="G245" s="491">
        <v>3112020.78</v>
      </c>
      <c r="H245" s="403"/>
      <c r="I245" s="491">
        <v>3213601.24</v>
      </c>
      <c r="J245" s="491">
        <v>806074.77</v>
      </c>
      <c r="K245" s="491">
        <v>3112020.78</v>
      </c>
      <c r="L245" s="403"/>
    </row>
    <row r="246" spans="1:12" s="406" customFormat="1" ht="21.75" customHeight="1">
      <c r="A246" s="492">
        <v>54</v>
      </c>
      <c r="B246" s="403" t="s">
        <v>265</v>
      </c>
      <c r="D246" s="490"/>
      <c r="E246" s="491"/>
      <c r="F246" s="101"/>
      <c r="G246" s="491"/>
      <c r="H246" s="403"/>
      <c r="I246" s="491"/>
      <c r="J246" s="491"/>
      <c r="K246" s="491"/>
      <c r="L246" s="403"/>
    </row>
    <row r="247" spans="2:12" s="406" customFormat="1" ht="21.75" customHeight="1">
      <c r="B247" s="403" t="s">
        <v>911</v>
      </c>
      <c r="D247" s="490" t="s">
        <v>252</v>
      </c>
      <c r="E247" s="491">
        <v>65404063.67</v>
      </c>
      <c r="F247" s="101"/>
      <c r="G247" s="491">
        <v>0</v>
      </c>
      <c r="H247" s="403"/>
      <c r="I247" s="491">
        <v>65404063.67</v>
      </c>
      <c r="J247" s="491"/>
      <c r="K247" s="491">
        <v>0</v>
      </c>
      <c r="L247" s="403"/>
    </row>
    <row r="248" spans="1:11" s="406" customFormat="1" ht="21.75" customHeight="1">
      <c r="A248" s="492">
        <v>55</v>
      </c>
      <c r="B248" s="403" t="s">
        <v>1061</v>
      </c>
      <c r="D248" s="490" t="s">
        <v>357</v>
      </c>
      <c r="E248" s="491">
        <v>1213631.4</v>
      </c>
      <c r="F248" s="101"/>
      <c r="G248" s="491">
        <v>1034690.11</v>
      </c>
      <c r="H248" s="403"/>
      <c r="I248" s="491">
        <v>1213631.4</v>
      </c>
      <c r="J248" s="491">
        <v>0</v>
      </c>
      <c r="K248" s="491">
        <v>1034690.11</v>
      </c>
    </row>
    <row r="249" spans="1:11" s="406" customFormat="1" ht="21.75" customHeight="1">
      <c r="A249" s="489" t="s">
        <v>770</v>
      </c>
      <c r="B249" s="403" t="s">
        <v>266</v>
      </c>
      <c r="D249" s="490"/>
      <c r="E249" s="491"/>
      <c r="F249" s="101"/>
      <c r="G249" s="491"/>
      <c r="H249" s="403"/>
      <c r="I249" s="491"/>
      <c r="J249" s="568"/>
      <c r="K249" s="491"/>
    </row>
    <row r="250" spans="1:11" s="406" customFormat="1" ht="21.75" customHeight="1">
      <c r="A250" s="492"/>
      <c r="B250" s="403" t="s">
        <v>913</v>
      </c>
      <c r="D250" s="490" t="s">
        <v>246</v>
      </c>
      <c r="E250" s="491">
        <v>658350</v>
      </c>
      <c r="F250" s="101"/>
      <c r="G250" s="491">
        <v>705600</v>
      </c>
      <c r="H250" s="403"/>
      <c r="I250" s="491">
        <v>658350</v>
      </c>
      <c r="J250" s="568"/>
      <c r="K250" s="491">
        <v>705600</v>
      </c>
    </row>
    <row r="251" spans="1:11" s="406" customFormat="1" ht="21.75" customHeight="1">
      <c r="A251" s="489" t="s">
        <v>1107</v>
      </c>
      <c r="B251" s="160" t="s">
        <v>1105</v>
      </c>
      <c r="D251" s="490"/>
      <c r="E251" s="491"/>
      <c r="F251" s="101"/>
      <c r="G251" s="491"/>
      <c r="H251" s="403"/>
      <c r="I251" s="491"/>
      <c r="J251" s="568"/>
      <c r="K251" s="491"/>
    </row>
    <row r="252" spans="1:11" s="406" customFormat="1" ht="21.75" customHeight="1">
      <c r="A252" s="492"/>
      <c r="B252" s="403" t="s">
        <v>1106</v>
      </c>
      <c r="D252" s="490" t="s">
        <v>74</v>
      </c>
      <c r="E252" s="491">
        <v>780000</v>
      </c>
      <c r="F252" s="101"/>
      <c r="G252" s="491">
        <v>0</v>
      </c>
      <c r="H252" s="403"/>
      <c r="I252" s="491">
        <v>780000</v>
      </c>
      <c r="J252" s="568"/>
      <c r="K252" s="491">
        <v>0</v>
      </c>
    </row>
    <row r="253" spans="1:11" s="406" customFormat="1" ht="21.75" customHeight="1">
      <c r="A253" s="492"/>
      <c r="B253" s="403"/>
      <c r="D253" s="490"/>
      <c r="E253" s="491"/>
      <c r="F253" s="101"/>
      <c r="G253" s="491"/>
      <c r="H253" s="403"/>
      <c r="I253" s="491"/>
      <c r="J253" s="568"/>
      <c r="K253" s="491"/>
    </row>
    <row r="254" spans="1:11" s="406" customFormat="1" ht="21.75" customHeight="1">
      <c r="A254" s="492"/>
      <c r="B254" s="403"/>
      <c r="D254" s="490"/>
      <c r="E254" s="491"/>
      <c r="F254" s="101"/>
      <c r="G254" s="491"/>
      <c r="H254" s="403"/>
      <c r="I254" s="491"/>
      <c r="J254" s="568"/>
      <c r="K254" s="491"/>
    </row>
    <row r="255" spans="1:11" s="302" customFormat="1" ht="21.75" customHeight="1">
      <c r="A255" s="680" t="s">
        <v>892</v>
      </c>
      <c r="B255" s="680"/>
      <c r="C255" s="680"/>
      <c r="D255" s="680"/>
      <c r="E255" s="680"/>
      <c r="F255" s="680"/>
      <c r="G255" s="680"/>
      <c r="H255" s="680"/>
      <c r="I255" s="680"/>
      <c r="J255" s="680"/>
      <c r="K255" s="680"/>
    </row>
    <row r="256" spans="1:11" s="302" customFormat="1" ht="22.5" customHeight="1">
      <c r="A256" s="408"/>
      <c r="B256" s="402"/>
      <c r="G256" s="408"/>
      <c r="H256" s="402"/>
      <c r="I256" s="409"/>
      <c r="J256" s="402"/>
      <c r="K256" s="409"/>
    </row>
    <row r="257" spans="1:11" s="302" customFormat="1" ht="22.5" customHeight="1">
      <c r="A257" s="407" t="s">
        <v>820</v>
      </c>
      <c r="E257" s="483"/>
      <c r="F257" s="483"/>
      <c r="G257" s="291"/>
      <c r="H257" s="391"/>
      <c r="K257" s="567"/>
    </row>
    <row r="258" spans="1:12" s="302" customFormat="1" ht="22.5" customHeight="1">
      <c r="A258" s="407"/>
      <c r="D258" s="550"/>
      <c r="E258" s="562"/>
      <c r="F258" s="562"/>
      <c r="G258" s="562"/>
      <c r="H258" s="397"/>
      <c r="I258" s="562"/>
      <c r="J258" s="397"/>
      <c r="K258" s="563" t="s">
        <v>592</v>
      </c>
      <c r="L258" s="564"/>
    </row>
    <row r="259" spans="1:12" s="302" customFormat="1" ht="22.5" customHeight="1">
      <c r="A259" s="407"/>
      <c r="D259" s="550"/>
      <c r="E259" s="675" t="s">
        <v>862</v>
      </c>
      <c r="F259" s="675"/>
      <c r="G259" s="675"/>
      <c r="H259" s="397"/>
      <c r="I259" s="675" t="s">
        <v>863</v>
      </c>
      <c r="J259" s="675"/>
      <c r="K259" s="675"/>
      <c r="L259" s="564"/>
    </row>
    <row r="260" spans="1:12" s="302" customFormat="1" ht="22.5" customHeight="1">
      <c r="A260" s="407"/>
      <c r="D260" s="550"/>
      <c r="E260" s="679" t="s">
        <v>514</v>
      </c>
      <c r="F260" s="679"/>
      <c r="G260" s="679"/>
      <c r="H260" s="397"/>
      <c r="I260" s="679" t="s">
        <v>864</v>
      </c>
      <c r="J260" s="679"/>
      <c r="K260" s="679"/>
      <c r="L260" s="564"/>
    </row>
    <row r="261" spans="1:12" s="302" customFormat="1" ht="22.5" customHeight="1">
      <c r="A261" s="407"/>
      <c r="D261" s="555" t="s">
        <v>349</v>
      </c>
      <c r="E261" s="396" t="s">
        <v>236</v>
      </c>
      <c r="F261" s="397"/>
      <c r="G261" s="396" t="s">
        <v>141</v>
      </c>
      <c r="H261" s="406"/>
      <c r="I261" s="396" t="s">
        <v>236</v>
      </c>
      <c r="J261" s="397"/>
      <c r="K261" s="396" t="s">
        <v>141</v>
      </c>
      <c r="L261" s="406"/>
    </row>
    <row r="262" spans="1:11" s="406" customFormat="1" ht="22.5" customHeight="1">
      <c r="A262" s="489" t="s">
        <v>1108</v>
      </c>
      <c r="B262" s="505" t="s">
        <v>168</v>
      </c>
      <c r="D262" s="490"/>
      <c r="E262" s="491"/>
      <c r="F262" s="101"/>
      <c r="G262" s="491"/>
      <c r="H262" s="403"/>
      <c r="I262" s="491"/>
      <c r="J262" s="568"/>
      <c r="K262" s="491"/>
    </row>
    <row r="263" spans="1:11" s="406" customFormat="1" ht="22.5" customHeight="1">
      <c r="A263" s="492"/>
      <c r="B263" s="404" t="s">
        <v>169</v>
      </c>
      <c r="D263" s="490" t="s">
        <v>252</v>
      </c>
      <c r="E263" s="491">
        <v>1073400</v>
      </c>
      <c r="F263" s="101"/>
      <c r="G263" s="491">
        <v>451680</v>
      </c>
      <c r="H263" s="403"/>
      <c r="I263" s="491">
        <v>1073400</v>
      </c>
      <c r="J263" s="568"/>
      <c r="K263" s="491">
        <v>451680</v>
      </c>
    </row>
    <row r="264" spans="1:11" s="406" customFormat="1" ht="22.5" customHeight="1">
      <c r="A264" s="489" t="s">
        <v>463</v>
      </c>
      <c r="B264" s="501" t="s">
        <v>317</v>
      </c>
      <c r="D264" s="490"/>
      <c r="E264" s="491"/>
      <c r="F264" s="101"/>
      <c r="G264" s="491"/>
      <c r="H264" s="403"/>
      <c r="I264" s="491"/>
      <c r="J264" s="568"/>
      <c r="K264" s="491"/>
    </row>
    <row r="265" spans="1:11" s="406" customFormat="1" ht="22.5" customHeight="1">
      <c r="A265" s="492"/>
      <c r="B265" s="513" t="s">
        <v>189</v>
      </c>
      <c r="D265" s="490" t="s">
        <v>382</v>
      </c>
      <c r="E265" s="491">
        <v>1248150</v>
      </c>
      <c r="F265" s="101"/>
      <c r="G265" s="491">
        <v>1234037.38</v>
      </c>
      <c r="H265" s="403"/>
      <c r="I265" s="491">
        <v>1248150</v>
      </c>
      <c r="J265" s="101"/>
      <c r="K265" s="491">
        <v>1234037.38</v>
      </c>
    </row>
    <row r="266" spans="1:11" s="406" customFormat="1" ht="22.5" customHeight="1">
      <c r="A266" s="489" t="s">
        <v>464</v>
      </c>
      <c r="B266" s="501" t="s">
        <v>285</v>
      </c>
      <c r="D266" s="490"/>
      <c r="E266" s="491"/>
      <c r="F266" s="101"/>
      <c r="G266" s="491"/>
      <c r="H266" s="403"/>
      <c r="I266" s="491"/>
      <c r="J266" s="101"/>
      <c r="K266" s="491"/>
    </row>
    <row r="267" spans="1:11" s="406" customFormat="1" ht="22.5" customHeight="1">
      <c r="A267" s="492"/>
      <c r="B267" s="406" t="s">
        <v>286</v>
      </c>
      <c r="D267" s="490" t="s">
        <v>245</v>
      </c>
      <c r="E267" s="491">
        <v>36969044.98</v>
      </c>
      <c r="F267" s="101"/>
      <c r="G267" s="491">
        <v>60576337</v>
      </c>
      <c r="H267" s="403"/>
      <c r="I267" s="491">
        <v>36969044.98</v>
      </c>
      <c r="J267" s="101"/>
      <c r="K267" s="491">
        <v>60576337</v>
      </c>
    </row>
    <row r="268" spans="1:11" s="406" customFormat="1" ht="22.5" customHeight="1">
      <c r="A268" s="489" t="s">
        <v>465</v>
      </c>
      <c r="B268" s="501" t="s">
        <v>278</v>
      </c>
      <c r="D268" s="490"/>
      <c r="E268" s="491"/>
      <c r="F268" s="101"/>
      <c r="G268" s="491"/>
      <c r="H268" s="403"/>
      <c r="I268" s="491"/>
      <c r="J268" s="568"/>
      <c r="K268" s="491"/>
    </row>
    <row r="269" spans="1:11" s="406" customFormat="1" ht="22.5" customHeight="1">
      <c r="A269" s="492"/>
      <c r="B269" s="406" t="s">
        <v>279</v>
      </c>
      <c r="D269" s="490" t="s">
        <v>245</v>
      </c>
      <c r="E269" s="491">
        <v>1120000</v>
      </c>
      <c r="F269" s="101"/>
      <c r="G269" s="491">
        <v>840000</v>
      </c>
      <c r="H269" s="403"/>
      <c r="I269" s="491">
        <v>1120000</v>
      </c>
      <c r="J269" s="568"/>
      <c r="K269" s="491">
        <v>840000</v>
      </c>
    </row>
    <row r="270" spans="1:11" s="406" customFormat="1" ht="22.5" customHeight="1">
      <c r="A270" s="569" t="s">
        <v>1194</v>
      </c>
      <c r="B270" s="513" t="s">
        <v>616</v>
      </c>
      <c r="D270" s="570"/>
      <c r="E270" s="511"/>
      <c r="F270" s="506"/>
      <c r="G270" s="511"/>
      <c r="H270" s="507"/>
      <c r="I270" s="511"/>
      <c r="J270" s="511"/>
      <c r="K270" s="511"/>
    </row>
    <row r="271" spans="1:11" s="406" customFormat="1" ht="22.5" customHeight="1">
      <c r="A271" s="569"/>
      <c r="B271" s="513" t="s">
        <v>261</v>
      </c>
      <c r="D271" s="570" t="s">
        <v>246</v>
      </c>
      <c r="E271" s="511">
        <v>863090</v>
      </c>
      <c r="F271" s="506"/>
      <c r="G271" s="511">
        <f>506448.6+240000</f>
        <v>746448.6</v>
      </c>
      <c r="H271" s="507"/>
      <c r="I271" s="511">
        <v>863090</v>
      </c>
      <c r="J271" s="511"/>
      <c r="K271" s="511">
        <f>506448.6+240000</f>
        <v>746448.6</v>
      </c>
    </row>
    <row r="272" spans="1:11" s="406" customFormat="1" ht="22.5" customHeight="1">
      <c r="A272" s="569" t="s">
        <v>1195</v>
      </c>
      <c r="B272" s="513" t="s">
        <v>617</v>
      </c>
      <c r="D272" s="570"/>
      <c r="E272" s="511"/>
      <c r="F272" s="506"/>
      <c r="G272" s="511"/>
      <c r="H272" s="507"/>
      <c r="I272" s="511"/>
      <c r="J272" s="511"/>
      <c r="K272" s="511"/>
    </row>
    <row r="273" spans="1:11" s="406" customFormat="1" ht="22.5" customHeight="1">
      <c r="A273" s="569"/>
      <c r="B273" s="513" t="s">
        <v>26</v>
      </c>
      <c r="D273" s="570" t="s">
        <v>246</v>
      </c>
      <c r="E273" s="511">
        <f>3391455.61+6609600</f>
        <v>10001055.61</v>
      </c>
      <c r="F273" s="506"/>
      <c r="G273" s="511">
        <v>8788596.46</v>
      </c>
      <c r="H273" s="507"/>
      <c r="I273" s="511">
        <f>3391455.61+6609600</f>
        <v>10001055.61</v>
      </c>
      <c r="J273" s="511"/>
      <c r="K273" s="511">
        <v>8788596.46</v>
      </c>
    </row>
    <row r="274" spans="1:11" s="406" customFormat="1" ht="22.5" customHeight="1">
      <c r="A274" s="569" t="s">
        <v>4</v>
      </c>
      <c r="B274" s="513" t="s">
        <v>25</v>
      </c>
      <c r="D274" s="570"/>
      <c r="E274" s="511"/>
      <c r="F274" s="506"/>
      <c r="G274" s="511"/>
      <c r="H274" s="507"/>
      <c r="I274" s="511"/>
      <c r="J274" s="511"/>
      <c r="K274" s="511"/>
    </row>
    <row r="275" spans="1:11" s="406" customFormat="1" ht="22.5" customHeight="1">
      <c r="A275" s="569"/>
      <c r="B275" s="513" t="s">
        <v>618</v>
      </c>
      <c r="D275" s="570" t="s">
        <v>246</v>
      </c>
      <c r="E275" s="511">
        <f>73087037.69+3898125</f>
        <v>76985162.69</v>
      </c>
      <c r="F275" s="506"/>
      <c r="G275" s="511">
        <v>91580780.9</v>
      </c>
      <c r="H275" s="507"/>
      <c r="I275" s="511">
        <f>73087037.69+3898125</f>
        <v>76985162.69</v>
      </c>
      <c r="J275" s="511"/>
      <c r="K275" s="511">
        <v>91580780.9</v>
      </c>
    </row>
    <row r="276" spans="1:11" s="406" customFormat="1" ht="22.5" customHeight="1">
      <c r="A276" s="569" t="s">
        <v>5</v>
      </c>
      <c r="B276" s="513" t="s">
        <v>36</v>
      </c>
      <c r="D276" s="570"/>
      <c r="E276" s="511"/>
      <c r="F276" s="506"/>
      <c r="G276" s="511"/>
      <c r="H276" s="507"/>
      <c r="I276" s="511"/>
      <c r="J276" s="511"/>
      <c r="K276" s="511"/>
    </row>
    <row r="277" spans="1:11" s="406" customFormat="1" ht="22.5" customHeight="1">
      <c r="A277" s="569"/>
      <c r="B277" s="513" t="s">
        <v>26</v>
      </c>
      <c r="D277" s="570" t="s">
        <v>245</v>
      </c>
      <c r="E277" s="511">
        <v>1959090</v>
      </c>
      <c r="F277" s="506"/>
      <c r="G277" s="511">
        <v>1957000</v>
      </c>
      <c r="H277" s="507"/>
      <c r="I277" s="511">
        <v>1959090</v>
      </c>
      <c r="J277" s="511"/>
      <c r="K277" s="511">
        <v>1957000</v>
      </c>
    </row>
    <row r="278" spans="1:11" s="406" customFormat="1" ht="22.5" customHeight="1">
      <c r="A278" s="569" t="s">
        <v>6</v>
      </c>
      <c r="B278" s="501" t="s">
        <v>7</v>
      </c>
      <c r="D278" s="570"/>
      <c r="E278" s="511"/>
      <c r="F278" s="506"/>
      <c r="G278" s="511"/>
      <c r="H278" s="507"/>
      <c r="I278" s="511"/>
      <c r="J278" s="511"/>
      <c r="K278" s="511"/>
    </row>
    <row r="279" spans="1:11" s="406" customFormat="1" ht="22.5" customHeight="1">
      <c r="A279" s="569"/>
      <c r="B279" s="406" t="s">
        <v>169</v>
      </c>
      <c r="D279" s="570" t="s">
        <v>246</v>
      </c>
      <c r="E279" s="511">
        <f>3500+1000000</f>
        <v>1003500</v>
      </c>
      <c r="F279" s="506"/>
      <c r="G279" s="511">
        <v>503271.03</v>
      </c>
      <c r="H279" s="507"/>
      <c r="I279" s="511">
        <f>3500+1000000</f>
        <v>1003500</v>
      </c>
      <c r="J279" s="511"/>
      <c r="K279" s="511">
        <v>503271.03</v>
      </c>
    </row>
    <row r="280" spans="1:11" s="406" customFormat="1" ht="22.5" customHeight="1">
      <c r="A280" s="569" t="s">
        <v>8</v>
      </c>
      <c r="B280" s="501" t="s">
        <v>9</v>
      </c>
      <c r="D280" s="570" t="s">
        <v>246</v>
      </c>
      <c r="E280" s="511">
        <f>4163264.95+360000</f>
        <v>4523264.95</v>
      </c>
      <c r="F280" s="506"/>
      <c r="G280" s="511">
        <v>4010103.27</v>
      </c>
      <c r="H280" s="507"/>
      <c r="I280" s="511">
        <f>4163264.95+360000</f>
        <v>4523264.95</v>
      </c>
      <c r="J280" s="511"/>
      <c r="K280" s="511">
        <v>4010103.27</v>
      </c>
    </row>
    <row r="281" spans="1:11" s="403" customFormat="1" ht="22.5" customHeight="1">
      <c r="A281" s="569" t="s">
        <v>10</v>
      </c>
      <c r="B281" s="501" t="s">
        <v>29</v>
      </c>
      <c r="C281" s="406"/>
      <c r="D281" s="570" t="s">
        <v>245</v>
      </c>
      <c r="E281" s="511">
        <f>38757614.08+1199900+90</f>
        <v>39957604.08</v>
      </c>
      <c r="F281" s="506"/>
      <c r="G281" s="511">
        <v>34549449.07</v>
      </c>
      <c r="H281" s="507"/>
      <c r="I281" s="511">
        <f>38757614.08+1199900+90</f>
        <v>39957604.08</v>
      </c>
      <c r="J281" s="511"/>
      <c r="K281" s="511">
        <v>34549449.07</v>
      </c>
    </row>
    <row r="282" spans="1:13" s="288" customFormat="1" ht="22.5" customHeight="1">
      <c r="A282" s="569" t="s">
        <v>11</v>
      </c>
      <c r="B282" s="501" t="s">
        <v>12</v>
      </c>
      <c r="C282" s="406"/>
      <c r="D282" s="570" t="s">
        <v>246</v>
      </c>
      <c r="E282" s="511">
        <f>651333.33+720000</f>
        <v>1371333.33</v>
      </c>
      <c r="F282" s="506"/>
      <c r="G282" s="511">
        <v>1169448.6</v>
      </c>
      <c r="H282" s="507"/>
      <c r="I282" s="511">
        <f>651333.33+720000</f>
        <v>1371333.33</v>
      </c>
      <c r="J282" s="511"/>
      <c r="K282" s="511">
        <v>1169448.6</v>
      </c>
      <c r="L282" s="564"/>
      <c r="M282" s="564"/>
    </row>
    <row r="283" spans="1:13" s="288" customFormat="1" ht="22.5" customHeight="1">
      <c r="A283" s="569" t="s">
        <v>13</v>
      </c>
      <c r="B283" s="501" t="s">
        <v>1217</v>
      </c>
      <c r="C283" s="406"/>
      <c r="D283" s="570" t="s">
        <v>246</v>
      </c>
      <c r="E283" s="511">
        <v>28767279.51</v>
      </c>
      <c r="F283" s="506"/>
      <c r="G283" s="511">
        <v>28135752.28</v>
      </c>
      <c r="H283" s="507"/>
      <c r="I283" s="511">
        <v>28767279.51</v>
      </c>
      <c r="J283" s="511"/>
      <c r="K283" s="511">
        <v>28135752.28</v>
      </c>
      <c r="L283" s="564"/>
      <c r="M283" s="564"/>
    </row>
    <row r="284" spans="1:13" s="288" customFormat="1" ht="22.5" customHeight="1">
      <c r="A284" s="569" t="s">
        <v>14</v>
      </c>
      <c r="B284" s="501" t="s">
        <v>613</v>
      </c>
      <c r="C284" s="406"/>
      <c r="D284" s="570"/>
      <c r="E284" s="511"/>
      <c r="F284" s="506"/>
      <c r="G284" s="511"/>
      <c r="H284" s="507"/>
      <c r="I284" s="511"/>
      <c r="J284" s="511"/>
      <c r="K284" s="511"/>
      <c r="L284" s="564"/>
      <c r="M284" s="564"/>
    </row>
    <row r="285" spans="1:13" s="288" customFormat="1" ht="22.5" customHeight="1">
      <c r="A285" s="569"/>
      <c r="B285" s="501" t="s">
        <v>615</v>
      </c>
      <c r="C285" s="406"/>
      <c r="D285" s="570" t="s">
        <v>382</v>
      </c>
      <c r="E285" s="511">
        <f>29580691.34+100000</f>
        <v>29680691.34</v>
      </c>
      <c r="F285" s="506"/>
      <c r="G285" s="511">
        <v>29914140.01</v>
      </c>
      <c r="H285" s="507"/>
      <c r="I285" s="511">
        <f>29580691.34+100000</f>
        <v>29680691.34</v>
      </c>
      <c r="J285" s="511"/>
      <c r="K285" s="511">
        <v>29914140.01</v>
      </c>
      <c r="L285" s="564"/>
      <c r="M285" s="564"/>
    </row>
    <row r="286" spans="1:13" s="288" customFormat="1" ht="22.5" customHeight="1">
      <c r="A286" s="569" t="s">
        <v>15</v>
      </c>
      <c r="B286" s="506" t="s">
        <v>262</v>
      </c>
      <c r="C286" s="406"/>
      <c r="D286" s="570"/>
      <c r="E286" s="511"/>
      <c r="F286" s="506"/>
      <c r="G286" s="511"/>
      <c r="H286" s="507"/>
      <c r="I286" s="511"/>
      <c r="J286" s="511"/>
      <c r="K286" s="511"/>
      <c r="L286" s="564"/>
      <c r="M286" s="564"/>
    </row>
    <row r="287" spans="1:13" s="288" customFormat="1" ht="22.5" customHeight="1">
      <c r="A287" s="569"/>
      <c r="B287" s="506" t="s">
        <v>619</v>
      </c>
      <c r="C287" s="406"/>
      <c r="D287" s="570" t="s">
        <v>129</v>
      </c>
      <c r="E287" s="511">
        <f>9654133.1+495506.67</f>
        <v>10149639.77</v>
      </c>
      <c r="F287" s="506"/>
      <c r="G287" s="511">
        <v>9410113.75</v>
      </c>
      <c r="H287" s="507"/>
      <c r="I287" s="511">
        <f>9654133.1+495506.67</f>
        <v>10149639.77</v>
      </c>
      <c r="J287" s="511"/>
      <c r="K287" s="511">
        <v>9410113.75</v>
      </c>
      <c r="L287" s="564"/>
      <c r="M287" s="564"/>
    </row>
    <row r="288" spans="1:13" s="288" customFormat="1" ht="22.5" customHeight="1">
      <c r="A288" s="569" t="s">
        <v>16</v>
      </c>
      <c r="B288" s="506" t="s">
        <v>263</v>
      </c>
      <c r="C288" s="406"/>
      <c r="L288" s="564"/>
      <c r="M288" s="564"/>
    </row>
    <row r="289" spans="1:13" s="288" customFormat="1" ht="22.5" customHeight="1">
      <c r="A289" s="569"/>
      <c r="B289" s="506" t="s">
        <v>469</v>
      </c>
      <c r="C289" s="406"/>
      <c r="D289" s="570" t="s">
        <v>129</v>
      </c>
      <c r="E289" s="511">
        <f>12620962.1+7258982.89</f>
        <v>19879944.99</v>
      </c>
      <c r="F289" s="506"/>
      <c r="G289" s="511">
        <v>19185922.97</v>
      </c>
      <c r="H289" s="507"/>
      <c r="I289" s="511">
        <f>12620962.1+7258982.89</f>
        <v>19879944.99</v>
      </c>
      <c r="J289" s="511"/>
      <c r="K289" s="511">
        <v>19185922.97</v>
      </c>
      <c r="L289" s="564"/>
      <c r="M289" s="564"/>
    </row>
    <row r="290" spans="1:13" s="288" customFormat="1" ht="22.5" customHeight="1">
      <c r="A290" s="569" t="s">
        <v>17</v>
      </c>
      <c r="B290" s="506" t="s">
        <v>18</v>
      </c>
      <c r="C290" s="406"/>
      <c r="D290" s="570" t="s">
        <v>246</v>
      </c>
      <c r="E290" s="511">
        <f>566223.39+23625</f>
        <v>589848.39</v>
      </c>
      <c r="F290" s="506"/>
      <c r="G290" s="511">
        <f>345142.99</f>
        <v>345142.99</v>
      </c>
      <c r="H290" s="507"/>
      <c r="I290" s="511">
        <f>566223.39+23625</f>
        <v>589848.39</v>
      </c>
      <c r="J290" s="511"/>
      <c r="K290" s="511">
        <f>345142.99</f>
        <v>345142.99</v>
      </c>
      <c r="L290" s="564"/>
      <c r="M290" s="564"/>
    </row>
    <row r="291" spans="1:11" s="406" customFormat="1" ht="22.5" customHeight="1">
      <c r="A291" s="569" t="s">
        <v>19</v>
      </c>
      <c r="B291" s="403" t="s">
        <v>20</v>
      </c>
      <c r="D291" s="570" t="s">
        <v>382</v>
      </c>
      <c r="E291" s="506">
        <v>7210274.29</v>
      </c>
      <c r="F291" s="506"/>
      <c r="G291" s="511">
        <v>6487359.61</v>
      </c>
      <c r="H291" s="507"/>
      <c r="I291" s="506">
        <v>7210274.29</v>
      </c>
      <c r="J291" s="511"/>
      <c r="K291" s="511">
        <v>6487359.61</v>
      </c>
    </row>
    <row r="292" spans="1:11" s="406" customFormat="1" ht="22.5" customHeight="1">
      <c r="A292" s="492"/>
      <c r="B292" s="403"/>
      <c r="G292" s="492"/>
      <c r="H292" s="403"/>
      <c r="I292" s="564"/>
      <c r="J292" s="403"/>
      <c r="K292" s="564"/>
    </row>
    <row r="293" spans="1:11" s="302" customFormat="1" ht="27.75" customHeight="1">
      <c r="A293" s="680" t="s">
        <v>967</v>
      </c>
      <c r="B293" s="680"/>
      <c r="C293" s="680"/>
      <c r="D293" s="680"/>
      <c r="E293" s="680"/>
      <c r="F293" s="680"/>
      <c r="G293" s="680"/>
      <c r="H293" s="680"/>
      <c r="I293" s="680"/>
      <c r="J293" s="680"/>
      <c r="K293" s="680"/>
    </row>
    <row r="294" spans="1:11" s="302" customFormat="1" ht="27.75" customHeight="1">
      <c r="A294" s="51"/>
      <c r="B294" s="51"/>
      <c r="C294" s="51"/>
      <c r="D294" s="51"/>
      <c r="E294" s="51"/>
      <c r="F294" s="51"/>
      <c r="G294" s="51"/>
      <c r="H294" s="51"/>
      <c r="I294" s="51"/>
      <c r="J294" s="51"/>
      <c r="K294" s="51"/>
    </row>
    <row r="295" spans="1:11" s="302" customFormat="1" ht="27.75" customHeight="1">
      <c r="A295" s="407" t="s">
        <v>821</v>
      </c>
      <c r="B295" s="402"/>
      <c r="C295" s="408"/>
      <c r="D295" s="408"/>
      <c r="E295" s="409"/>
      <c r="F295" s="402"/>
      <c r="G295" s="402"/>
      <c r="H295" s="402"/>
      <c r="I295" s="402"/>
      <c r="J295" s="402"/>
      <c r="K295" s="402"/>
    </row>
    <row r="296" spans="1:11" s="302" customFormat="1" ht="27.75" customHeight="1">
      <c r="A296" s="158"/>
      <c r="B296" s="288" t="s">
        <v>824</v>
      </c>
      <c r="C296" s="291"/>
      <c r="D296" s="291"/>
      <c r="E296" s="291"/>
      <c r="F296" s="291"/>
      <c r="G296" s="291"/>
      <c r="H296" s="175"/>
      <c r="I296" s="175"/>
      <c r="J296" s="175"/>
      <c r="K296" s="175"/>
    </row>
    <row r="297" spans="1:11" s="302" customFormat="1" ht="27.75" customHeight="1">
      <c r="A297" s="158" t="s">
        <v>822</v>
      </c>
      <c r="B297" s="158"/>
      <c r="C297" s="291"/>
      <c r="D297" s="291"/>
      <c r="E297" s="291"/>
      <c r="F297" s="291"/>
      <c r="G297" s="291"/>
      <c r="H297" s="391"/>
      <c r="I297" s="175"/>
      <c r="J297" s="175"/>
      <c r="K297" s="175"/>
    </row>
    <row r="298" spans="1:11" s="302" customFormat="1" ht="27.75" customHeight="1">
      <c r="A298" s="158" t="s">
        <v>823</v>
      </c>
      <c r="B298" s="158"/>
      <c r="C298" s="291"/>
      <c r="D298" s="291"/>
      <c r="E298" s="291"/>
      <c r="F298" s="291"/>
      <c r="G298" s="291"/>
      <c r="H298" s="391"/>
      <c r="I298" s="175"/>
      <c r="J298" s="175"/>
      <c r="K298" s="175"/>
    </row>
    <row r="299" spans="1:11" s="302" customFormat="1" ht="27.75" customHeight="1">
      <c r="A299" s="158"/>
      <c r="B299" s="158"/>
      <c r="C299" s="291"/>
      <c r="D299" s="550"/>
      <c r="E299" s="562"/>
      <c r="F299" s="562"/>
      <c r="G299" s="562"/>
      <c r="H299" s="397"/>
      <c r="I299" s="562"/>
      <c r="J299" s="397"/>
      <c r="K299" s="563" t="s">
        <v>592</v>
      </c>
    </row>
    <row r="300" spans="1:11" ht="27.75" customHeight="1">
      <c r="A300" s="158"/>
      <c r="B300" s="158"/>
      <c r="C300" s="291"/>
      <c r="D300" s="550"/>
      <c r="E300" s="675" t="s">
        <v>862</v>
      </c>
      <c r="F300" s="675"/>
      <c r="G300" s="675"/>
      <c r="H300" s="397"/>
      <c r="I300" s="675" t="s">
        <v>863</v>
      </c>
      <c r="J300" s="675"/>
      <c r="K300" s="675"/>
    </row>
    <row r="301" spans="1:11" ht="27.75" customHeight="1">
      <c r="A301" s="158"/>
      <c r="B301" s="158"/>
      <c r="C301" s="291"/>
      <c r="D301" s="550"/>
      <c r="E301" s="679" t="s">
        <v>514</v>
      </c>
      <c r="F301" s="679"/>
      <c r="G301" s="679"/>
      <c r="H301" s="397"/>
      <c r="I301" s="679" t="s">
        <v>864</v>
      </c>
      <c r="J301" s="679"/>
      <c r="K301" s="679"/>
    </row>
    <row r="302" spans="1:11" ht="27.75" customHeight="1">
      <c r="A302" s="302"/>
      <c r="B302" s="302"/>
      <c r="C302" s="302"/>
      <c r="D302" s="555" t="s">
        <v>349</v>
      </c>
      <c r="E302" s="396" t="s">
        <v>236</v>
      </c>
      <c r="F302" s="397"/>
      <c r="G302" s="396" t="s">
        <v>141</v>
      </c>
      <c r="H302" s="406"/>
      <c r="I302" s="396" t="s">
        <v>236</v>
      </c>
      <c r="J302" s="397"/>
      <c r="K302" s="396" t="s">
        <v>141</v>
      </c>
    </row>
    <row r="303" spans="1:11" ht="27.75" customHeight="1">
      <c r="A303" s="489" t="s">
        <v>688</v>
      </c>
      <c r="B303" s="403" t="s">
        <v>364</v>
      </c>
      <c r="C303" s="406"/>
      <c r="D303" s="492" t="s">
        <v>246</v>
      </c>
      <c r="E303" s="406">
        <v>1127071.51</v>
      </c>
      <c r="F303" s="493"/>
      <c r="G303" s="493">
        <v>1639718.11</v>
      </c>
      <c r="H303" s="493"/>
      <c r="I303" s="406">
        <v>1127071.51</v>
      </c>
      <c r="J303" s="493"/>
      <c r="K303" s="493">
        <v>1639718.11</v>
      </c>
    </row>
    <row r="304" spans="1:11" ht="27.75" customHeight="1">
      <c r="A304" s="489" t="s">
        <v>689</v>
      </c>
      <c r="B304" s="403" t="s">
        <v>368</v>
      </c>
      <c r="C304" s="406"/>
      <c r="D304" s="490" t="s">
        <v>118</v>
      </c>
      <c r="E304" s="406">
        <v>35715276.07</v>
      </c>
      <c r="F304" s="493"/>
      <c r="G304" s="493">
        <v>41757752.69</v>
      </c>
      <c r="H304" s="493"/>
      <c r="I304" s="406">
        <v>35715276.07</v>
      </c>
      <c r="J304" s="493"/>
      <c r="K304" s="493">
        <v>41757752.69</v>
      </c>
    </row>
    <row r="305" spans="1:11" ht="27.75" customHeight="1">
      <c r="A305" s="489" t="s">
        <v>690</v>
      </c>
      <c r="B305" s="403" t="s">
        <v>926</v>
      </c>
      <c r="C305" s="406"/>
      <c r="D305" s="406"/>
      <c r="E305" s="406"/>
      <c r="F305" s="406"/>
      <c r="G305" s="406"/>
      <c r="H305" s="406"/>
      <c r="I305" s="406"/>
      <c r="J305" s="406"/>
      <c r="K305" s="406"/>
    </row>
    <row r="306" spans="1:11" ht="27.75" customHeight="1">
      <c r="A306" s="406"/>
      <c r="B306" s="403" t="s">
        <v>942</v>
      </c>
      <c r="C306" s="406"/>
      <c r="D306" s="492" t="s">
        <v>126</v>
      </c>
      <c r="E306" s="406">
        <v>10747463.11</v>
      </c>
      <c r="F306" s="493"/>
      <c r="G306" s="493">
        <v>8705754.53</v>
      </c>
      <c r="H306" s="493"/>
      <c r="I306" s="406">
        <v>10747463.11</v>
      </c>
      <c r="J306" s="493"/>
      <c r="K306" s="493">
        <v>8705754.53</v>
      </c>
    </row>
    <row r="307" spans="1:11" ht="27.75" customHeight="1">
      <c r="A307" s="489" t="s">
        <v>691</v>
      </c>
      <c r="B307" s="403" t="s">
        <v>956</v>
      </c>
      <c r="C307" s="406"/>
      <c r="D307" s="492" t="s">
        <v>382</v>
      </c>
      <c r="E307" s="406">
        <v>1223969510.5</v>
      </c>
      <c r="F307" s="493"/>
      <c r="G307" s="493">
        <v>1253670657.96</v>
      </c>
      <c r="H307" s="493"/>
      <c r="I307" s="406">
        <v>1223969510.5</v>
      </c>
      <c r="J307" s="493"/>
      <c r="K307" s="493">
        <v>1253670657.96</v>
      </c>
    </row>
    <row r="308" spans="1:11" ht="27.75" customHeight="1">
      <c r="A308" s="489" t="s">
        <v>693</v>
      </c>
      <c r="B308" s="403" t="s">
        <v>957</v>
      </c>
      <c r="C308" s="406"/>
      <c r="D308" s="492" t="s">
        <v>130</v>
      </c>
      <c r="E308" s="406">
        <v>15869338.07</v>
      </c>
      <c r="F308" s="493"/>
      <c r="G308" s="493">
        <v>13494697.05</v>
      </c>
      <c r="H308" s="493"/>
      <c r="I308" s="406">
        <v>15869338.07</v>
      </c>
      <c r="J308" s="493"/>
      <c r="K308" s="493">
        <v>13494697.05</v>
      </c>
    </row>
    <row r="309" spans="1:11" ht="27.75" customHeight="1">
      <c r="A309" s="508" t="s">
        <v>695</v>
      </c>
      <c r="B309" s="505" t="s">
        <v>121</v>
      </c>
      <c r="C309" s="406"/>
      <c r="D309" s="492"/>
      <c r="E309" s="406"/>
      <c r="F309" s="493"/>
      <c r="G309" s="493"/>
      <c r="H309" s="493"/>
      <c r="I309" s="406"/>
      <c r="J309" s="493"/>
      <c r="K309" s="493"/>
    </row>
    <row r="310" spans="1:11" ht="27.75" customHeight="1">
      <c r="A310" s="508"/>
      <c r="B310" s="506" t="s">
        <v>21</v>
      </c>
      <c r="C310" s="406"/>
      <c r="D310" s="570" t="s">
        <v>246</v>
      </c>
      <c r="E310" s="510">
        <v>8008558.3</v>
      </c>
      <c r="F310" s="510"/>
      <c r="G310" s="510">
        <v>8000</v>
      </c>
      <c r="H310" s="510"/>
      <c r="I310" s="510">
        <v>8008558.3</v>
      </c>
      <c r="J310" s="510"/>
      <c r="K310" s="510">
        <v>8000</v>
      </c>
    </row>
    <row r="311" spans="1:11" ht="27.75" customHeight="1">
      <c r="A311" s="508" t="s">
        <v>696</v>
      </c>
      <c r="B311" s="505" t="s">
        <v>620</v>
      </c>
      <c r="C311" s="406"/>
      <c r="D311" s="509" t="s">
        <v>371</v>
      </c>
      <c r="E311" s="510">
        <v>13045834.64</v>
      </c>
      <c r="F311" s="510"/>
      <c r="G311" s="511">
        <v>0</v>
      </c>
      <c r="H311" s="510"/>
      <c r="I311" s="510">
        <v>13045834.64</v>
      </c>
      <c r="J311" s="510"/>
      <c r="K311" s="511">
        <v>0</v>
      </c>
    </row>
    <row r="312" spans="1:11" ht="27.75" customHeight="1">
      <c r="A312" s="508"/>
      <c r="B312" s="505" t="s">
        <v>614</v>
      </c>
      <c r="C312" s="406"/>
      <c r="D312" s="509"/>
      <c r="E312" s="510"/>
      <c r="F312" s="510"/>
      <c r="G312" s="511"/>
      <c r="H312" s="510"/>
      <c r="I312" s="510"/>
      <c r="J312" s="510"/>
      <c r="K312" s="511"/>
    </row>
    <row r="313" spans="1:11" ht="27.75" customHeight="1">
      <c r="A313" s="508" t="s">
        <v>697</v>
      </c>
      <c r="B313" s="507" t="s">
        <v>470</v>
      </c>
      <c r="C313" s="406"/>
      <c r="D313" s="509" t="s">
        <v>826</v>
      </c>
      <c r="E313" s="510">
        <v>946147.5</v>
      </c>
      <c r="F313" s="510"/>
      <c r="G313" s="510">
        <v>1643696.55</v>
      </c>
      <c r="H313" s="510"/>
      <c r="I313" s="510">
        <v>946147.5</v>
      </c>
      <c r="J313" s="510"/>
      <c r="K313" s="510">
        <v>1643696.55</v>
      </c>
    </row>
    <row r="314" spans="1:11" ht="27.75" customHeight="1">
      <c r="A314" s="508" t="s">
        <v>698</v>
      </c>
      <c r="B314" s="507" t="s">
        <v>22</v>
      </c>
      <c r="C314" s="406"/>
      <c r="D314" s="509" t="s">
        <v>129</v>
      </c>
      <c r="E314" s="510">
        <v>10810822.45</v>
      </c>
      <c r="F314" s="510"/>
      <c r="G314" s="511">
        <v>0</v>
      </c>
      <c r="H314" s="510"/>
      <c r="I314" s="510">
        <v>10810822.45</v>
      </c>
      <c r="J314" s="510"/>
      <c r="K314" s="511">
        <v>0</v>
      </c>
    </row>
    <row r="315" spans="1:11" ht="27.75" customHeight="1">
      <c r="A315" s="508"/>
      <c r="B315" s="507"/>
      <c r="C315" s="406"/>
      <c r="D315" s="509"/>
      <c r="E315" s="510"/>
      <c r="F315" s="510"/>
      <c r="G315" s="511"/>
      <c r="H315" s="510"/>
      <c r="I315" s="510"/>
      <c r="J315" s="510"/>
      <c r="K315" s="511"/>
    </row>
    <row r="316" spans="1:11" ht="27.75" customHeight="1">
      <c r="A316" s="157" t="s">
        <v>958</v>
      </c>
      <c r="B316" s="158"/>
      <c r="C316" s="158"/>
      <c r="D316" s="158"/>
      <c r="E316" s="302"/>
      <c r="F316" s="302"/>
      <c r="G316" s="302"/>
      <c r="H316" s="302"/>
      <c r="I316" s="302"/>
      <c r="J316" s="302"/>
      <c r="K316" s="302"/>
    </row>
    <row r="317" spans="1:11" ht="27.75" customHeight="1">
      <c r="A317" s="158"/>
      <c r="B317" s="291" t="s">
        <v>367</v>
      </c>
      <c r="C317" s="158" t="s">
        <v>959</v>
      </c>
      <c r="D317" s="158"/>
      <c r="E317" s="302"/>
      <c r="F317" s="302"/>
      <c r="G317" s="302"/>
      <c r="H317" s="302"/>
      <c r="I317" s="302"/>
      <c r="J317" s="302"/>
      <c r="K317" s="302"/>
    </row>
    <row r="318" spans="1:11" ht="27.75" customHeight="1">
      <c r="A318" s="158"/>
      <c r="B318" s="291" t="s">
        <v>960</v>
      </c>
      <c r="C318" s="158" t="s">
        <v>961</v>
      </c>
      <c r="D318" s="158"/>
      <c r="E318" s="302"/>
      <c r="F318" s="302"/>
      <c r="G318" s="302"/>
      <c r="H318" s="302"/>
      <c r="I318" s="302"/>
      <c r="J318" s="302"/>
      <c r="K318" s="302"/>
    </row>
    <row r="319" spans="1:11" ht="27.75" customHeight="1">
      <c r="A319" s="158"/>
      <c r="B319" s="291" t="s">
        <v>962</v>
      </c>
      <c r="C319" s="158" t="s">
        <v>963</v>
      </c>
      <c r="D319" s="158"/>
      <c r="E319" s="302"/>
      <c r="F319" s="302"/>
      <c r="G319" s="302"/>
      <c r="H319" s="302"/>
      <c r="I319" s="302"/>
      <c r="J319" s="302"/>
      <c r="K319" s="302"/>
    </row>
    <row r="320" spans="1:11" ht="27.75" customHeight="1">
      <c r="A320" s="158"/>
      <c r="B320" s="291" t="s">
        <v>964</v>
      </c>
      <c r="C320" s="158" t="s">
        <v>965</v>
      </c>
      <c r="D320" s="158"/>
      <c r="E320" s="302"/>
      <c r="F320" s="302"/>
      <c r="G320" s="302"/>
      <c r="H320" s="302"/>
      <c r="I320" s="302"/>
      <c r="J320" s="302"/>
      <c r="K320" s="302"/>
    </row>
    <row r="321" spans="1:11" ht="27.75" customHeight="1">
      <c r="A321" s="158"/>
      <c r="B321" s="291" t="s">
        <v>929</v>
      </c>
      <c r="C321" s="158" t="s">
        <v>966</v>
      </c>
      <c r="D321" s="158"/>
      <c r="E321" s="302"/>
      <c r="F321" s="302"/>
      <c r="G321" s="302"/>
      <c r="H321" s="302"/>
      <c r="I321" s="302"/>
      <c r="J321" s="302"/>
      <c r="K321" s="302"/>
    </row>
    <row r="322" spans="2:3" ht="27.75" customHeight="1">
      <c r="B322" s="458" t="s">
        <v>466</v>
      </c>
      <c r="C322" s="302" t="s">
        <v>260</v>
      </c>
    </row>
    <row r="323" ht="27.75" customHeight="1"/>
  </sheetData>
  <sheetProtection/>
  <mergeCells count="49">
    <mergeCell ref="E301:G301"/>
    <mergeCell ref="I301:K301"/>
    <mergeCell ref="E181:G181"/>
    <mergeCell ref="I181:K181"/>
    <mergeCell ref="E182:G182"/>
    <mergeCell ref="I220:K220"/>
    <mergeCell ref="A293:K293"/>
    <mergeCell ref="E259:G259"/>
    <mergeCell ref="E260:G260"/>
    <mergeCell ref="I260:K260"/>
    <mergeCell ref="E147:G147"/>
    <mergeCell ref="I147:K147"/>
    <mergeCell ref="A138:K138"/>
    <mergeCell ref="A255:K255"/>
    <mergeCell ref="E148:G148"/>
    <mergeCell ref="I148:K148"/>
    <mergeCell ref="E219:G219"/>
    <mergeCell ref="A177:K177"/>
    <mergeCell ref="I182:K182"/>
    <mergeCell ref="A215:K215"/>
    <mergeCell ref="E300:G300"/>
    <mergeCell ref="I300:K300"/>
    <mergeCell ref="I219:K219"/>
    <mergeCell ref="E220:G220"/>
    <mergeCell ref="A1:K1"/>
    <mergeCell ref="E77:G77"/>
    <mergeCell ref="I77:K77"/>
    <mergeCell ref="E78:G78"/>
    <mergeCell ref="I78:K78"/>
    <mergeCell ref="E113:G113"/>
    <mergeCell ref="I113:K113"/>
    <mergeCell ref="I259:K259"/>
    <mergeCell ref="I6:K6"/>
    <mergeCell ref="E88:G88"/>
    <mergeCell ref="I42:K42"/>
    <mergeCell ref="E43:G43"/>
    <mergeCell ref="I112:K112"/>
    <mergeCell ref="I88:K88"/>
    <mergeCell ref="E89:G89"/>
    <mergeCell ref="E112:G112"/>
    <mergeCell ref="E5:G5"/>
    <mergeCell ref="I5:K5"/>
    <mergeCell ref="A38:K38"/>
    <mergeCell ref="E42:G42"/>
    <mergeCell ref="E6:G6"/>
    <mergeCell ref="I89:K89"/>
    <mergeCell ref="A105:K105"/>
    <mergeCell ref="I43:K43"/>
    <mergeCell ref="A72:K72"/>
  </mergeCells>
  <printOptions/>
  <pageMargins left="0.32" right="0.26" top="0.63" bottom="0.61" header="0.31" footer="0.3"/>
  <pageSetup horizontalDpi="600" verticalDpi="600" orientation="portrait" paperSize="9" scale="9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8"/>
  <sheetViews>
    <sheetView zoomScaleSheetLayoutView="90" zoomScalePageLayoutView="0" workbookViewId="0" topLeftCell="A1">
      <selection activeCell="A137" sqref="A137"/>
    </sheetView>
  </sheetViews>
  <sheetFormatPr defaultColWidth="9.140625" defaultRowHeight="24.75" customHeight="1"/>
  <cols>
    <col min="1" max="1" width="7.7109375" style="14" customWidth="1"/>
    <col min="2" max="2" width="9.140625" style="14" customWidth="1"/>
    <col min="3" max="3" width="14.8515625" style="14" customWidth="1"/>
    <col min="4" max="4" width="16.421875" style="14" customWidth="1"/>
    <col min="5" max="5" width="3.421875" style="14" customWidth="1"/>
    <col min="6" max="6" width="13.00390625" style="14" customWidth="1"/>
    <col min="7" max="7" width="2.421875" style="14" customWidth="1"/>
    <col min="8" max="8" width="17.28125" style="14" customWidth="1"/>
    <col min="9" max="9" width="2.57421875" style="14" customWidth="1"/>
    <col min="10" max="10" width="17.28125" style="14" customWidth="1"/>
    <col min="11" max="11" width="1.7109375" style="14" customWidth="1"/>
    <col min="12" max="12" width="0.9921875" style="14" hidden="1" customWidth="1"/>
    <col min="13" max="13" width="0.2890625" style="14" customWidth="1"/>
    <col min="14" max="16384" width="9.140625" style="14" customWidth="1"/>
  </cols>
  <sheetData>
    <row r="1" spans="1:10" ht="22.5" customHeight="1">
      <c r="A1" s="681" t="s">
        <v>1006</v>
      </c>
      <c r="B1" s="681"/>
      <c r="C1" s="681"/>
      <c r="D1" s="681"/>
      <c r="E1" s="681"/>
      <c r="F1" s="681"/>
      <c r="G1" s="681"/>
      <c r="H1" s="681"/>
      <c r="I1" s="681"/>
      <c r="J1" s="681"/>
    </row>
    <row r="2" spans="1:3" ht="22.5" customHeight="1">
      <c r="A2" s="6"/>
      <c r="B2" s="26"/>
      <c r="C2" s="6"/>
    </row>
    <row r="3" s="6" customFormat="1" ht="22.5" customHeight="1">
      <c r="A3" s="7" t="s">
        <v>131</v>
      </c>
    </row>
    <row r="4" s="6" customFormat="1" ht="22.5" customHeight="1">
      <c r="B4" s="6" t="s">
        <v>968</v>
      </c>
    </row>
    <row r="5" spans="1:10" s="6" customFormat="1" ht="22.5" customHeight="1">
      <c r="A5" s="410" t="s">
        <v>969</v>
      </c>
      <c r="B5" s="410"/>
      <c r="C5" s="410"/>
      <c r="D5" s="410"/>
      <c r="E5" s="410"/>
      <c r="F5" s="410"/>
      <c r="G5" s="410"/>
      <c r="H5" s="410"/>
      <c r="I5" s="410"/>
      <c r="J5" s="410"/>
    </row>
    <row r="6" spans="1:10" s="6" customFormat="1" ht="22.5" customHeight="1">
      <c r="A6" s="682" t="s">
        <v>970</v>
      </c>
      <c r="B6" s="682"/>
      <c r="C6" s="682"/>
      <c r="D6" s="682"/>
      <c r="E6" s="682"/>
      <c r="F6" s="682"/>
      <c r="H6" s="405" t="s">
        <v>971</v>
      </c>
      <c r="J6" s="405"/>
    </row>
    <row r="7" spans="1:10" s="6" customFormat="1" ht="22.5" customHeight="1">
      <c r="A7" s="411"/>
      <c r="B7" s="411"/>
      <c r="C7" s="410"/>
      <c r="D7" s="410"/>
      <c r="E7" s="410"/>
      <c r="F7" s="410"/>
      <c r="G7" s="410"/>
      <c r="H7" s="25" t="s">
        <v>972</v>
      </c>
      <c r="I7" s="410"/>
      <c r="J7" s="25" t="s">
        <v>973</v>
      </c>
    </row>
    <row r="8" spans="1:10" s="6" customFormat="1" ht="22.5" customHeight="1">
      <c r="A8" s="6" t="s">
        <v>974</v>
      </c>
      <c r="H8" s="412" t="s">
        <v>975</v>
      </c>
      <c r="J8" s="413" t="s">
        <v>976</v>
      </c>
    </row>
    <row r="9" spans="1:10" s="6" customFormat="1" ht="22.5" customHeight="1">
      <c r="A9" s="6" t="s">
        <v>977</v>
      </c>
      <c r="G9" s="414" t="s">
        <v>978</v>
      </c>
      <c r="H9" s="415"/>
      <c r="I9" s="415"/>
      <c r="J9" s="416" t="s">
        <v>979</v>
      </c>
    </row>
    <row r="10" spans="1:10" s="6" customFormat="1" ht="22.5" customHeight="1">
      <c r="A10" s="6" t="s">
        <v>980</v>
      </c>
      <c r="H10" s="26"/>
      <c r="J10" s="26"/>
    </row>
    <row r="11" spans="1:10" s="6" customFormat="1" ht="22.5" customHeight="1">
      <c r="A11" s="417" t="s">
        <v>981</v>
      </c>
      <c r="B11" s="6" t="s">
        <v>982</v>
      </c>
      <c r="H11" s="26" t="s">
        <v>983</v>
      </c>
      <c r="J11" s="26" t="s">
        <v>983</v>
      </c>
    </row>
    <row r="12" spans="1:10" s="6" customFormat="1" ht="22.5" customHeight="1">
      <c r="A12" s="417"/>
      <c r="B12" s="6" t="s">
        <v>521</v>
      </c>
      <c r="H12" s="26"/>
      <c r="J12" s="26"/>
    </row>
    <row r="13" spans="1:10" s="6" customFormat="1" ht="22.5" customHeight="1">
      <c r="A13" s="417"/>
      <c r="B13" s="6" t="s">
        <v>525</v>
      </c>
      <c r="H13" s="26"/>
      <c r="J13" s="26"/>
    </row>
    <row r="14" spans="1:10" s="6" customFormat="1" ht="22.5" customHeight="1">
      <c r="A14" s="417" t="s">
        <v>984</v>
      </c>
      <c r="B14" s="6" t="s">
        <v>985</v>
      </c>
      <c r="H14" s="26" t="s">
        <v>983</v>
      </c>
      <c r="J14" s="26" t="s">
        <v>983</v>
      </c>
    </row>
    <row r="15" spans="1:10" s="6" customFormat="1" ht="22.5" customHeight="1">
      <c r="A15" s="417"/>
      <c r="B15" s="6" t="s">
        <v>986</v>
      </c>
      <c r="H15" s="26"/>
      <c r="J15" s="26"/>
    </row>
    <row r="16" spans="1:10" s="6" customFormat="1" ht="22.5" customHeight="1">
      <c r="A16" s="417"/>
      <c r="B16" s="6" t="s">
        <v>526</v>
      </c>
      <c r="H16" s="26"/>
      <c r="J16" s="26"/>
    </row>
    <row r="17" spans="1:11" s="6" customFormat="1" ht="22.5" customHeight="1">
      <c r="A17" s="427" t="s">
        <v>987</v>
      </c>
      <c r="B17" s="428" t="s">
        <v>988</v>
      </c>
      <c r="C17" s="428"/>
      <c r="D17" s="428"/>
      <c r="E17" s="428"/>
      <c r="F17" s="428"/>
      <c r="G17" s="428"/>
      <c r="H17" s="419" t="s">
        <v>1062</v>
      </c>
      <c r="I17" s="428"/>
      <c r="J17" s="419" t="s">
        <v>1062</v>
      </c>
      <c r="K17" s="429"/>
    </row>
    <row r="18" spans="1:11" s="6" customFormat="1" ht="22.5" customHeight="1">
      <c r="A18" s="430"/>
      <c r="B18" s="57" t="s">
        <v>989</v>
      </c>
      <c r="C18" s="57"/>
      <c r="D18" s="57"/>
      <c r="E18" s="57"/>
      <c r="F18" s="57"/>
      <c r="G18" s="57"/>
      <c r="H18" s="405"/>
      <c r="I18" s="57"/>
      <c r="J18" s="405"/>
      <c r="K18" s="431"/>
    </row>
    <row r="19" spans="1:11" s="6" customFormat="1" ht="22.5" customHeight="1">
      <c r="A19" s="430"/>
      <c r="B19" s="57" t="s">
        <v>524</v>
      </c>
      <c r="C19" s="57"/>
      <c r="D19" s="57"/>
      <c r="E19" s="57"/>
      <c r="F19" s="57"/>
      <c r="G19" s="57"/>
      <c r="H19" s="405"/>
      <c r="I19" s="57"/>
      <c r="J19" s="405"/>
      <c r="K19" s="431"/>
    </row>
    <row r="20" spans="1:11" s="6" customFormat="1" ht="22.5" customHeight="1">
      <c r="A20" s="432"/>
      <c r="B20" s="410" t="s">
        <v>1201</v>
      </c>
      <c r="C20" s="410"/>
      <c r="D20" s="410"/>
      <c r="E20" s="410"/>
      <c r="F20" s="410"/>
      <c r="G20" s="410"/>
      <c r="H20" s="25" t="s">
        <v>522</v>
      </c>
      <c r="I20" s="410"/>
      <c r="J20" s="25" t="s">
        <v>523</v>
      </c>
      <c r="K20" s="433"/>
    </row>
    <row r="21" spans="1:10" s="6" customFormat="1" ht="22.5" customHeight="1">
      <c r="A21" s="417" t="s">
        <v>990</v>
      </c>
      <c r="B21" s="6" t="s">
        <v>991</v>
      </c>
      <c r="H21" s="418">
        <v>0.25</v>
      </c>
      <c r="J21" s="418">
        <v>0.25</v>
      </c>
    </row>
    <row r="22" spans="2:10" s="6" customFormat="1" ht="22.5" customHeight="1">
      <c r="B22" s="6" t="s">
        <v>992</v>
      </c>
      <c r="H22" s="26"/>
      <c r="J22" s="26"/>
    </row>
    <row r="23" spans="2:10" s="6" customFormat="1" ht="22.5" customHeight="1">
      <c r="B23" s="6" t="s">
        <v>525</v>
      </c>
      <c r="H23" s="26"/>
      <c r="J23" s="26"/>
    </row>
    <row r="24" spans="1:10" s="6" customFormat="1" ht="22.5" customHeight="1">
      <c r="A24" s="417" t="s">
        <v>993</v>
      </c>
      <c r="B24" s="6" t="s">
        <v>997</v>
      </c>
      <c r="H24" s="26" t="s">
        <v>1063</v>
      </c>
      <c r="J24" s="26" t="s">
        <v>1063</v>
      </c>
    </row>
    <row r="25" spans="2:10" s="6" customFormat="1" ht="22.5" customHeight="1">
      <c r="B25" s="6" t="s">
        <v>998</v>
      </c>
      <c r="H25" s="26"/>
      <c r="J25" s="26"/>
    </row>
    <row r="26" spans="2:10" s="6" customFormat="1" ht="22.5" customHeight="1">
      <c r="B26" s="6" t="s">
        <v>525</v>
      </c>
      <c r="H26" s="26"/>
      <c r="J26" s="26"/>
    </row>
    <row r="27" s="6" customFormat="1" ht="22.5" customHeight="1">
      <c r="B27" s="6" t="s">
        <v>999</v>
      </c>
    </row>
    <row r="28" s="6" customFormat="1" ht="22.5" customHeight="1">
      <c r="A28" s="6" t="s">
        <v>1000</v>
      </c>
    </row>
    <row r="29" s="6" customFormat="1" ht="22.5" customHeight="1"/>
    <row r="30" spans="1:11" ht="25.5" customHeight="1">
      <c r="A30" s="385" t="s">
        <v>132</v>
      </c>
      <c r="C30" s="9"/>
      <c r="D30" s="9"/>
      <c r="E30" s="9"/>
      <c r="F30" s="9"/>
      <c r="G30" s="494"/>
      <c r="H30" s="494"/>
      <c r="I30" s="494"/>
      <c r="J30" s="494"/>
      <c r="K30" s="494"/>
    </row>
    <row r="31" spans="1:11" ht="25.5" customHeight="1">
      <c r="A31" s="158" t="s">
        <v>133</v>
      </c>
      <c r="B31" s="495"/>
      <c r="C31" s="495"/>
      <c r="D31" s="495"/>
      <c r="E31" s="495"/>
      <c r="F31" s="495"/>
      <c r="G31" s="495"/>
      <c r="H31" s="495"/>
      <c r="I31" s="495"/>
      <c r="J31" s="495"/>
      <c r="K31" s="495"/>
    </row>
    <row r="32" spans="1:11" ht="25.5" customHeight="1">
      <c r="A32" s="495"/>
      <c r="B32" s="496" t="s">
        <v>485</v>
      </c>
      <c r="C32" s="495"/>
      <c r="D32" s="495"/>
      <c r="E32" s="495"/>
      <c r="F32" s="495"/>
      <c r="G32" s="495"/>
      <c r="H32" s="495"/>
      <c r="I32" s="495"/>
      <c r="J32" s="495"/>
      <c r="K32" s="495"/>
    </row>
    <row r="33" spans="1:11" ht="25.5" customHeight="1">
      <c r="A33" s="496" t="s">
        <v>486</v>
      </c>
      <c r="B33" s="495"/>
      <c r="C33" s="495"/>
      <c r="D33" s="495"/>
      <c r="E33" s="495"/>
      <c r="F33" s="495"/>
      <c r="G33" s="495"/>
      <c r="H33" s="495"/>
      <c r="I33" s="495"/>
      <c r="J33" s="495"/>
      <c r="K33" s="495"/>
    </row>
    <row r="34" spans="1:11" ht="25.5" customHeight="1">
      <c r="A34" s="496" t="s">
        <v>487</v>
      </c>
      <c r="B34" s="495"/>
      <c r="C34" s="495"/>
      <c r="D34" s="495"/>
      <c r="E34" s="495"/>
      <c r="F34" s="495"/>
      <c r="G34" s="495"/>
      <c r="H34" s="495"/>
      <c r="I34" s="495"/>
      <c r="J34" s="495"/>
      <c r="K34" s="495"/>
    </row>
    <row r="35" spans="1:11" ht="25.5" customHeight="1">
      <c r="A35" s="158" t="s">
        <v>488</v>
      </c>
      <c r="B35" s="158"/>
      <c r="C35" s="158"/>
      <c r="D35" s="158"/>
      <c r="E35" s="158"/>
      <c r="F35" s="158"/>
      <c r="G35" s="158"/>
      <c r="H35" s="158"/>
      <c r="I35" s="158"/>
      <c r="J35" s="158"/>
      <c r="K35" s="482"/>
    </row>
    <row r="36" spans="1:11" ht="25.5" customHeight="1">
      <c r="A36" s="158" t="s">
        <v>489</v>
      </c>
      <c r="B36" s="158"/>
      <c r="C36" s="158"/>
      <c r="D36" s="158"/>
      <c r="E36" s="158"/>
      <c r="F36" s="158"/>
      <c r="G36" s="158"/>
      <c r="H36" s="158"/>
      <c r="I36" s="158"/>
      <c r="J36" s="158"/>
      <c r="K36" s="482"/>
    </row>
    <row r="37" spans="1:11" ht="25.5" customHeight="1">
      <c r="A37" s="158"/>
      <c r="B37" s="158"/>
      <c r="C37" s="158"/>
      <c r="D37" s="158"/>
      <c r="E37" s="158"/>
      <c r="F37" s="158"/>
      <c r="G37" s="158"/>
      <c r="H37" s="158"/>
      <c r="I37" s="158"/>
      <c r="J37" s="158"/>
      <c r="K37" s="482"/>
    </row>
    <row r="38" spans="1:10" ht="27.75" customHeight="1">
      <c r="A38" s="681" t="s">
        <v>1026</v>
      </c>
      <c r="B38" s="681"/>
      <c r="C38" s="681"/>
      <c r="D38" s="681"/>
      <c r="E38" s="681"/>
      <c r="F38" s="681"/>
      <c r="G38" s="681"/>
      <c r="H38" s="681"/>
      <c r="I38" s="681"/>
      <c r="J38" s="681"/>
    </row>
    <row r="39" spans="1:10" ht="27.75" customHeight="1">
      <c r="A39" s="9"/>
      <c r="B39" s="9"/>
      <c r="C39" s="9"/>
      <c r="D39" s="9"/>
      <c r="E39" s="9"/>
      <c r="F39" s="9"/>
      <c r="G39" s="9"/>
      <c r="H39" s="9"/>
      <c r="I39" s="9"/>
      <c r="J39" s="9"/>
    </row>
    <row r="40" spans="1:11" ht="27.75" customHeight="1">
      <c r="A40" s="385" t="s">
        <v>808</v>
      </c>
      <c r="C40" s="9"/>
      <c r="D40" s="9"/>
      <c r="E40" s="9"/>
      <c r="F40" s="9"/>
      <c r="G40" s="494"/>
      <c r="H40" s="494"/>
      <c r="I40" s="494"/>
      <c r="J40" s="494"/>
      <c r="K40" s="494"/>
    </row>
    <row r="41" ht="27.75" customHeight="1">
      <c r="A41" s="14" t="s">
        <v>809</v>
      </c>
    </row>
    <row r="42" ht="27.75" customHeight="1">
      <c r="B42" s="14" t="s">
        <v>490</v>
      </c>
    </row>
    <row r="43" ht="27.75" customHeight="1">
      <c r="A43" s="14" t="s">
        <v>491</v>
      </c>
    </row>
    <row r="44" ht="27.75" customHeight="1">
      <c r="A44" s="14" t="s">
        <v>492</v>
      </c>
    </row>
    <row r="45" ht="27.75" customHeight="1">
      <c r="A45" s="14" t="s">
        <v>493</v>
      </c>
    </row>
    <row r="46" ht="27.75" customHeight="1">
      <c r="A46" s="14" t="s">
        <v>494</v>
      </c>
    </row>
    <row r="47" ht="27.75" customHeight="1">
      <c r="A47" s="14" t="s">
        <v>495</v>
      </c>
    </row>
    <row r="48" ht="27.75" customHeight="1">
      <c r="A48" s="14" t="s">
        <v>498</v>
      </c>
    </row>
    <row r="49" ht="27.75" customHeight="1">
      <c r="A49" s="14" t="s">
        <v>499</v>
      </c>
    </row>
    <row r="50" s="6" customFormat="1" ht="27.75" customHeight="1">
      <c r="A50" s="7" t="s">
        <v>810</v>
      </c>
    </row>
    <row r="51" spans="1:4" s="6" customFormat="1" ht="27.75" customHeight="1">
      <c r="A51" s="6" t="s">
        <v>811</v>
      </c>
      <c r="D51" s="8"/>
    </row>
    <row r="52" s="6" customFormat="1" ht="27.75" customHeight="1">
      <c r="A52" s="6" t="s">
        <v>1001</v>
      </c>
    </row>
    <row r="53" s="6" customFormat="1" ht="27.75" customHeight="1">
      <c r="A53" s="6" t="s">
        <v>1002</v>
      </c>
    </row>
    <row r="54" s="6" customFormat="1" ht="27.75" customHeight="1">
      <c r="A54" s="6" t="s">
        <v>812</v>
      </c>
    </row>
    <row r="55" s="6" customFormat="1" ht="27.75" customHeight="1">
      <c r="A55" s="6" t="s">
        <v>1003</v>
      </c>
    </row>
    <row r="56" s="6" customFormat="1" ht="27.75" customHeight="1">
      <c r="A56" s="6" t="s">
        <v>813</v>
      </c>
    </row>
    <row r="57" s="6" customFormat="1" ht="27.75" customHeight="1">
      <c r="A57" s="6" t="s">
        <v>1004</v>
      </c>
    </row>
    <row r="58" s="6" customFormat="1" ht="27.75" customHeight="1">
      <c r="A58" s="6" t="s">
        <v>1005</v>
      </c>
    </row>
    <row r="59" ht="27.75" customHeight="1"/>
    <row r="60" ht="27.75" customHeight="1"/>
    <row r="61" ht="27.75" customHeight="1"/>
    <row r="62" ht="27.75" customHeight="1"/>
  </sheetData>
  <sheetProtection/>
  <mergeCells count="3">
    <mergeCell ref="A1:J1"/>
    <mergeCell ref="A6:F6"/>
    <mergeCell ref="A38:J38"/>
  </mergeCells>
  <printOptions/>
  <pageMargins left="0.5905511811023623" right="0.2362204724409449" top="0.49" bottom="0.41" header="0.31496062992125984" footer="0.31496062992125984"/>
  <pageSetup horizontalDpi="600" verticalDpi="6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31"/>
  <sheetViews>
    <sheetView zoomScaleSheetLayoutView="90" zoomScalePageLayoutView="0" workbookViewId="0" topLeftCell="A19">
      <selection activeCell="A137" sqref="A137"/>
    </sheetView>
  </sheetViews>
  <sheetFormatPr defaultColWidth="9.140625" defaultRowHeight="25.5" customHeight="1"/>
  <cols>
    <col min="1" max="1" width="1.1484375" style="6" customWidth="1"/>
    <col min="2" max="2" width="42.28125" style="6" customWidth="1"/>
    <col min="3" max="7" width="12.7109375" style="6" customWidth="1"/>
    <col min="8" max="8" width="0.9921875" style="6" customWidth="1"/>
    <col min="9" max="13" width="12.7109375" style="6" customWidth="1"/>
    <col min="14" max="14" width="0.9921875" style="6" customWidth="1"/>
    <col min="15" max="16384" width="9.140625" style="6" customWidth="1"/>
  </cols>
  <sheetData>
    <row r="1" spans="1:12" ht="20.25" customHeight="1">
      <c r="A1" s="685" t="s">
        <v>505</v>
      </c>
      <c r="B1" s="685"/>
      <c r="C1" s="685"/>
      <c r="D1" s="685"/>
      <c r="E1" s="685"/>
      <c r="F1" s="685"/>
      <c r="G1" s="685"/>
      <c r="H1" s="685"/>
      <c r="I1" s="685"/>
      <c r="J1" s="685"/>
      <c r="K1" s="685"/>
      <c r="L1" s="685"/>
    </row>
    <row r="2" ht="20.25" customHeight="1"/>
    <row r="3" ht="20.25" customHeight="1">
      <c r="A3" s="6" t="s">
        <v>500</v>
      </c>
    </row>
    <row r="4" ht="20.25" customHeight="1">
      <c r="L4" s="351" t="s">
        <v>1007</v>
      </c>
    </row>
    <row r="5" spans="4:12" ht="20.25" customHeight="1">
      <c r="D5" s="683" t="s">
        <v>236</v>
      </c>
      <c r="E5" s="684"/>
      <c r="F5" s="684"/>
      <c r="G5" s="684"/>
      <c r="I5" s="683" t="s">
        <v>141</v>
      </c>
      <c r="J5" s="684"/>
      <c r="K5" s="684"/>
      <c r="L5" s="684"/>
    </row>
    <row r="6" spans="4:12" ht="20.25" customHeight="1">
      <c r="D6" s="419" t="s">
        <v>1008</v>
      </c>
      <c r="E6" s="419" t="s">
        <v>1009</v>
      </c>
      <c r="F6" s="419" t="s">
        <v>1010</v>
      </c>
      <c r="G6" s="419" t="s">
        <v>402</v>
      </c>
      <c r="I6" s="419" t="s">
        <v>1008</v>
      </c>
      <c r="J6" s="419" t="s">
        <v>1009</v>
      </c>
      <c r="K6" s="419" t="s">
        <v>1010</v>
      </c>
      <c r="L6" s="419" t="s">
        <v>402</v>
      </c>
    </row>
    <row r="7" spans="4:12" ht="20.25" customHeight="1">
      <c r="D7" s="25" t="s">
        <v>1011</v>
      </c>
      <c r="E7" s="25" t="s">
        <v>1011</v>
      </c>
      <c r="F7" s="25" t="s">
        <v>1011</v>
      </c>
      <c r="G7" s="410"/>
      <c r="I7" s="25" t="s">
        <v>1011</v>
      </c>
      <c r="J7" s="25" t="s">
        <v>1011</v>
      </c>
      <c r="K7" s="25" t="s">
        <v>1011</v>
      </c>
      <c r="L7" s="410"/>
    </row>
    <row r="8" spans="2:3" ht="20.25" customHeight="1">
      <c r="B8" s="7" t="s">
        <v>1012</v>
      </c>
      <c r="C8" s="7"/>
    </row>
    <row r="9" spans="2:12" ht="20.25" customHeight="1">
      <c r="B9" s="6" t="s">
        <v>1013</v>
      </c>
      <c r="D9" s="6">
        <v>68.74</v>
      </c>
      <c r="E9" s="8">
        <v>0</v>
      </c>
      <c r="F9" s="6">
        <v>2.64</v>
      </c>
      <c r="G9" s="420">
        <f>+D9+E9+F9</f>
        <v>71.38</v>
      </c>
      <c r="I9" s="420">
        <v>95.03</v>
      </c>
      <c r="J9" s="420">
        <v>0</v>
      </c>
      <c r="K9" s="421">
        <v>2.88</v>
      </c>
      <c r="L9" s="420">
        <f>+I9+J9+K9</f>
        <v>97.91</v>
      </c>
    </row>
    <row r="10" spans="2:12" ht="20.25" customHeight="1">
      <c r="B10" s="6" t="s">
        <v>1014</v>
      </c>
      <c r="D10" s="420">
        <v>0</v>
      </c>
      <c r="E10" s="497">
        <v>5</v>
      </c>
      <c r="F10" s="8">
        <v>0</v>
      </c>
      <c r="G10" s="420">
        <f>+D10+E10+F10</f>
        <v>5</v>
      </c>
      <c r="I10" s="420">
        <v>0</v>
      </c>
      <c r="J10" s="420">
        <v>5</v>
      </c>
      <c r="K10" s="422">
        <v>0</v>
      </c>
      <c r="L10" s="420">
        <f>+I10+J10+K10</f>
        <v>5</v>
      </c>
    </row>
    <row r="11" spans="2:12" ht="20.25" customHeight="1">
      <c r="B11" s="7" t="s">
        <v>1015</v>
      </c>
      <c r="C11" s="7"/>
      <c r="I11" s="420"/>
      <c r="J11" s="420"/>
      <c r="K11" s="422"/>
      <c r="L11" s="420"/>
    </row>
    <row r="12" spans="2:12" ht="20.25" customHeight="1">
      <c r="B12" s="6" t="s">
        <v>1016</v>
      </c>
      <c r="D12" s="6">
        <v>463.05</v>
      </c>
      <c r="E12" s="420">
        <v>0</v>
      </c>
      <c r="F12" s="8">
        <v>0</v>
      </c>
      <c r="G12" s="420">
        <f>+D12+E12+F12</f>
        <v>463.05</v>
      </c>
      <c r="I12" s="420">
        <v>9.59</v>
      </c>
      <c r="J12" s="420">
        <v>1200</v>
      </c>
      <c r="K12" s="422">
        <v>0</v>
      </c>
      <c r="L12" s="420">
        <f>+I12+J12+K12</f>
        <v>1209.59</v>
      </c>
    </row>
    <row r="13" spans="2:12" ht="20.25" customHeight="1">
      <c r="B13" s="6" t="s">
        <v>501</v>
      </c>
      <c r="D13" s="497">
        <v>120</v>
      </c>
      <c r="E13" s="497">
        <v>200</v>
      </c>
      <c r="F13" s="8">
        <v>0</v>
      </c>
      <c r="G13" s="420">
        <f>+D13+E13+F13</f>
        <v>320</v>
      </c>
      <c r="I13" s="420">
        <v>0</v>
      </c>
      <c r="J13" s="420">
        <v>0</v>
      </c>
      <c r="K13" s="422">
        <v>0</v>
      </c>
      <c r="L13" s="420">
        <f>+I13+J13+K13</f>
        <v>0</v>
      </c>
    </row>
    <row r="14" spans="2:12" ht="20.25" customHeight="1">
      <c r="B14" s="6" t="s">
        <v>1017</v>
      </c>
      <c r="D14" s="497">
        <v>180</v>
      </c>
      <c r="E14" s="420">
        <v>0</v>
      </c>
      <c r="F14" s="8">
        <v>0</v>
      </c>
      <c r="G14" s="420">
        <f>+D14+E14+F14</f>
        <v>180</v>
      </c>
      <c r="I14" s="420">
        <v>0</v>
      </c>
      <c r="J14" s="420">
        <v>0</v>
      </c>
      <c r="K14" s="422">
        <v>0</v>
      </c>
      <c r="L14" s="420">
        <f>+I14+J14+K14</f>
        <v>0</v>
      </c>
    </row>
    <row r="15" spans="2:12" ht="20.25" customHeight="1">
      <c r="B15" s="6" t="s">
        <v>1018</v>
      </c>
      <c r="D15" s="420">
        <v>0</v>
      </c>
      <c r="E15" s="420">
        <v>0</v>
      </c>
      <c r="F15" s="8">
        <v>0</v>
      </c>
      <c r="G15" s="420">
        <f>+D15+E15+F15</f>
        <v>0</v>
      </c>
      <c r="I15" s="420">
        <v>0</v>
      </c>
      <c r="J15" s="420">
        <v>200</v>
      </c>
      <c r="K15" s="422">
        <v>0</v>
      </c>
      <c r="L15" s="420">
        <f>+I15+J15+K15</f>
        <v>200</v>
      </c>
    </row>
    <row r="16" spans="9:12" ht="20.25" customHeight="1">
      <c r="I16" s="420"/>
      <c r="J16" s="420"/>
      <c r="K16" s="422"/>
      <c r="L16" s="420"/>
    </row>
    <row r="17" ht="20.25" customHeight="1">
      <c r="B17" s="6" t="s">
        <v>502</v>
      </c>
    </row>
    <row r="18" ht="20.25" customHeight="1"/>
    <row r="19" spans="7:13" ht="20.25" customHeight="1">
      <c r="G19" s="351"/>
      <c r="M19" s="351" t="s">
        <v>1007</v>
      </c>
    </row>
    <row r="20" spans="3:13" ht="20.25" customHeight="1">
      <c r="C20" s="683" t="s">
        <v>236</v>
      </c>
      <c r="D20" s="683"/>
      <c r="E20" s="683"/>
      <c r="F20" s="683"/>
      <c r="G20" s="683"/>
      <c r="I20" s="683" t="s">
        <v>141</v>
      </c>
      <c r="J20" s="683"/>
      <c r="K20" s="683"/>
      <c r="L20" s="683"/>
      <c r="M20" s="683"/>
    </row>
    <row r="21" spans="3:13" ht="20.25" customHeight="1">
      <c r="C21" s="419" t="s">
        <v>1019</v>
      </c>
      <c r="D21" s="419" t="s">
        <v>1020</v>
      </c>
      <c r="E21" s="419" t="s">
        <v>1021</v>
      </c>
      <c r="F21" s="419" t="s">
        <v>402</v>
      </c>
      <c r="G21" s="419" t="s">
        <v>1022</v>
      </c>
      <c r="I21" s="419" t="s">
        <v>1019</v>
      </c>
      <c r="J21" s="419" t="s">
        <v>1020</v>
      </c>
      <c r="K21" s="419" t="s">
        <v>1021</v>
      </c>
      <c r="L21" s="419" t="s">
        <v>402</v>
      </c>
      <c r="M21" s="419" t="s">
        <v>1022</v>
      </c>
    </row>
    <row r="22" spans="3:13" ht="20.25" customHeight="1">
      <c r="C22" s="410"/>
      <c r="D22" s="25" t="s">
        <v>1023</v>
      </c>
      <c r="E22" s="25" t="s">
        <v>1023</v>
      </c>
      <c r="F22" s="25"/>
      <c r="G22" s="410"/>
      <c r="I22" s="410"/>
      <c r="J22" s="25" t="s">
        <v>1023</v>
      </c>
      <c r="K22" s="25" t="s">
        <v>1023</v>
      </c>
      <c r="L22" s="25"/>
      <c r="M22" s="410"/>
    </row>
    <row r="23" spans="2:9" ht="20.25" customHeight="1">
      <c r="B23" s="7" t="s">
        <v>1012</v>
      </c>
      <c r="C23" s="7"/>
      <c r="I23" s="7"/>
    </row>
    <row r="24" spans="2:13" ht="20.25" customHeight="1">
      <c r="B24" s="6" t="s">
        <v>1013</v>
      </c>
      <c r="C24" s="6">
        <v>68.74</v>
      </c>
      <c r="D24" s="8">
        <v>0</v>
      </c>
      <c r="E24" s="8">
        <v>0</v>
      </c>
      <c r="F24" s="6">
        <v>68.74</v>
      </c>
      <c r="G24" s="498">
        <v>0.005</v>
      </c>
      <c r="I24" s="420">
        <v>95.03</v>
      </c>
      <c r="J24" s="420">
        <v>0</v>
      </c>
      <c r="K24" s="420">
        <v>0</v>
      </c>
      <c r="L24" s="420">
        <f>SUM(I24:K24)</f>
        <v>95.03</v>
      </c>
      <c r="M24" s="423" t="s">
        <v>1024</v>
      </c>
    </row>
    <row r="25" spans="2:13" ht="20.25" customHeight="1">
      <c r="B25" s="6" t="s">
        <v>1014</v>
      </c>
      <c r="C25" s="497">
        <v>5</v>
      </c>
      <c r="D25" s="8">
        <v>0</v>
      </c>
      <c r="E25" s="8">
        <v>0</v>
      </c>
      <c r="F25" s="497">
        <v>5</v>
      </c>
      <c r="G25" s="498">
        <v>0.07</v>
      </c>
      <c r="I25" s="420">
        <v>5</v>
      </c>
      <c r="J25" s="420">
        <v>0</v>
      </c>
      <c r="K25" s="420">
        <v>0</v>
      </c>
      <c r="L25" s="420">
        <f>SUM(I25:K25)</f>
        <v>5</v>
      </c>
      <c r="M25" s="424">
        <v>0.07</v>
      </c>
    </row>
    <row r="26" spans="2:13" ht="20.25" customHeight="1">
      <c r="B26" s="7" t="s">
        <v>1015</v>
      </c>
      <c r="I26" s="425"/>
      <c r="J26" s="420"/>
      <c r="K26" s="420"/>
      <c r="L26" s="420"/>
      <c r="M26" s="424"/>
    </row>
    <row r="27" spans="2:13" ht="20.25" customHeight="1">
      <c r="B27" s="6" t="s">
        <v>1016</v>
      </c>
      <c r="C27" s="6">
        <v>3.05</v>
      </c>
      <c r="D27" s="497">
        <v>460</v>
      </c>
      <c r="E27" s="8">
        <v>0</v>
      </c>
      <c r="F27" s="6">
        <v>463.05</v>
      </c>
      <c r="G27" s="351" t="s">
        <v>1243</v>
      </c>
      <c r="I27" s="420">
        <v>209.59</v>
      </c>
      <c r="J27" s="420">
        <v>1000</v>
      </c>
      <c r="K27" s="420">
        <v>0</v>
      </c>
      <c r="L27" s="420">
        <f>SUM(I27:K27)</f>
        <v>1209.59</v>
      </c>
      <c r="M27" s="426" t="s">
        <v>1025</v>
      </c>
    </row>
    <row r="28" spans="2:13" ht="20.25" customHeight="1">
      <c r="B28" s="6" t="s">
        <v>501</v>
      </c>
      <c r="C28" s="8">
        <v>0</v>
      </c>
      <c r="D28" s="497">
        <v>120</v>
      </c>
      <c r="E28" s="497">
        <v>200</v>
      </c>
      <c r="F28" s="497">
        <v>320</v>
      </c>
      <c r="G28" s="498">
        <v>0.045</v>
      </c>
      <c r="I28" s="420">
        <v>0</v>
      </c>
      <c r="J28" s="420">
        <v>0</v>
      </c>
      <c r="K28" s="420">
        <v>0</v>
      </c>
      <c r="L28" s="420">
        <f>SUM(I28:K28)</f>
        <v>0</v>
      </c>
      <c r="M28" s="420">
        <f>SUM(J28:L28)</f>
        <v>0</v>
      </c>
    </row>
    <row r="29" spans="2:13" ht="20.25" customHeight="1">
      <c r="B29" s="6" t="s">
        <v>1017</v>
      </c>
      <c r="C29" s="8">
        <v>0</v>
      </c>
      <c r="D29" s="8">
        <v>0</v>
      </c>
      <c r="E29" s="497">
        <v>180</v>
      </c>
      <c r="F29" s="497">
        <v>180</v>
      </c>
      <c r="G29" s="498">
        <v>0.045</v>
      </c>
      <c r="I29" s="420">
        <v>0</v>
      </c>
      <c r="J29" s="420">
        <v>0</v>
      </c>
      <c r="K29" s="420">
        <v>0</v>
      </c>
      <c r="L29" s="420">
        <f>SUM(I29:K29)</f>
        <v>0</v>
      </c>
      <c r="M29" s="420">
        <f>SUM(J29:L29)</f>
        <v>0</v>
      </c>
    </row>
    <row r="30" spans="2:13" ht="20.25" customHeight="1">
      <c r="B30" s="6" t="s">
        <v>1018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I30" s="420">
        <v>0</v>
      </c>
      <c r="J30" s="420">
        <v>0</v>
      </c>
      <c r="K30" s="420">
        <v>200</v>
      </c>
      <c r="L30" s="420">
        <f>SUM(I30:K30)</f>
        <v>200</v>
      </c>
      <c r="M30" s="424">
        <v>0.045</v>
      </c>
    </row>
    <row r="31" spans="3:13" ht="20.25" customHeight="1">
      <c r="C31" s="420"/>
      <c r="D31" s="420"/>
      <c r="E31" s="420"/>
      <c r="F31" s="420"/>
      <c r="G31" s="421"/>
      <c r="I31" s="8"/>
      <c r="J31" s="8"/>
      <c r="K31" s="8"/>
      <c r="L31" s="8"/>
      <c r="M31" s="8"/>
    </row>
    <row r="32" ht="20.25" customHeight="1"/>
  </sheetData>
  <sheetProtection/>
  <mergeCells count="5">
    <mergeCell ref="I5:L5"/>
    <mergeCell ref="I20:M20"/>
    <mergeCell ref="A1:L1"/>
    <mergeCell ref="D5:G5"/>
    <mergeCell ref="C20:G20"/>
  </mergeCells>
  <printOptions horizontalCentered="1"/>
  <pageMargins left="0.25" right="0.15748031496062992" top="0.4724409448818898" bottom="0.31496062992125984" header="0.15748031496062992" footer="0.1968503937007874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1"/>
  <sheetViews>
    <sheetView zoomScaleSheetLayoutView="90" zoomScalePageLayoutView="0" workbookViewId="0" topLeftCell="A1">
      <selection activeCell="A137" sqref="A137"/>
    </sheetView>
  </sheetViews>
  <sheetFormatPr defaultColWidth="9.140625" defaultRowHeight="24.75" customHeight="1"/>
  <cols>
    <col min="1" max="1" width="3.7109375" style="6" customWidth="1"/>
    <col min="2" max="2" width="46.421875" style="6" customWidth="1"/>
    <col min="3" max="3" width="17.00390625" style="6" customWidth="1"/>
    <col min="4" max="4" width="1.7109375" style="6" customWidth="1"/>
    <col min="5" max="5" width="16.7109375" style="6" customWidth="1"/>
    <col min="6" max="6" width="1.7109375" style="6" customWidth="1"/>
    <col min="7" max="7" width="15.28125" style="6" customWidth="1"/>
    <col min="8" max="8" width="0.85546875" style="6" customWidth="1"/>
    <col min="9" max="9" width="14.140625" style="6" customWidth="1"/>
    <col min="10" max="10" width="9.7109375" style="6" customWidth="1"/>
    <col min="11" max="11" width="10.57421875" style="6" customWidth="1"/>
    <col min="12" max="12" width="11.421875" style="6" customWidth="1"/>
    <col min="13" max="16384" width="9.140625" style="6" customWidth="1"/>
  </cols>
  <sheetData>
    <row r="1" spans="1:7" ht="24.75" customHeight="1">
      <c r="A1" s="685" t="s">
        <v>72</v>
      </c>
      <c r="B1" s="685"/>
      <c r="C1" s="685"/>
      <c r="D1" s="685"/>
      <c r="E1" s="685"/>
      <c r="F1" s="685"/>
      <c r="G1" s="685"/>
    </row>
    <row r="2" spans="1:7" ht="24.75" customHeight="1">
      <c r="A2" s="7" t="s">
        <v>814</v>
      </c>
      <c r="B2" s="26"/>
      <c r="C2" s="26"/>
      <c r="D2" s="26"/>
      <c r="E2" s="26"/>
      <c r="F2" s="26"/>
      <c r="G2" s="26"/>
    </row>
    <row r="3" ht="24.75" customHeight="1">
      <c r="B3" s="6" t="s">
        <v>815</v>
      </c>
    </row>
    <row r="4" ht="24.75" customHeight="1">
      <c r="B4" s="6" t="s">
        <v>1027</v>
      </c>
    </row>
    <row r="5" ht="24.75" customHeight="1">
      <c r="B5" s="6" t="s">
        <v>1028</v>
      </c>
    </row>
    <row r="6" ht="24.75" customHeight="1">
      <c r="B6" s="6" t="s">
        <v>816</v>
      </c>
    </row>
    <row r="7" ht="24.75" customHeight="1">
      <c r="B7" s="6" t="s">
        <v>1029</v>
      </c>
    </row>
    <row r="8" ht="24.75" customHeight="1">
      <c r="B8" s="6" t="s">
        <v>1030</v>
      </c>
    </row>
    <row r="9" ht="24.75" customHeight="1">
      <c r="B9" s="6" t="s">
        <v>1031</v>
      </c>
    </row>
    <row r="10" ht="24.75" customHeight="1">
      <c r="B10" s="6" t="s">
        <v>817</v>
      </c>
    </row>
    <row r="11" ht="24.75" customHeight="1">
      <c r="B11" s="6" t="s">
        <v>1033</v>
      </c>
    </row>
    <row r="12" ht="24.75" customHeight="1">
      <c r="B12" s="6" t="s">
        <v>1034</v>
      </c>
    </row>
    <row r="13" ht="24.75" customHeight="1">
      <c r="B13" s="6" t="s">
        <v>1035</v>
      </c>
    </row>
    <row r="14" spans="2:9" s="14" customFormat="1" ht="24.75" customHeight="1">
      <c r="B14" s="9"/>
      <c r="C14" s="401"/>
      <c r="E14" s="401"/>
      <c r="F14" s="401"/>
      <c r="G14" s="401"/>
      <c r="I14" s="8"/>
    </row>
    <row r="15" spans="1:9" s="14" customFormat="1" ht="24.75" customHeight="1">
      <c r="A15" s="385" t="s">
        <v>818</v>
      </c>
      <c r="B15" s="9"/>
      <c r="C15" s="401"/>
      <c r="E15" s="401"/>
      <c r="F15" s="401"/>
      <c r="G15" s="401"/>
      <c r="I15" s="8"/>
    </row>
    <row r="16" spans="2:9" s="14" customFormat="1" ht="24.75" customHeight="1">
      <c r="B16" s="6" t="s">
        <v>503</v>
      </c>
      <c r="C16" s="401"/>
      <c r="E16" s="401"/>
      <c r="F16" s="401"/>
      <c r="G16" s="401"/>
      <c r="I16" s="8"/>
    </row>
    <row r="17" spans="2:9" s="14" customFormat="1" ht="24.75" customHeight="1">
      <c r="B17" s="49" t="s">
        <v>504</v>
      </c>
      <c r="C17" s="401"/>
      <c r="E17" s="401"/>
      <c r="F17" s="401"/>
      <c r="G17" s="401"/>
      <c r="I17" s="8"/>
    </row>
    <row r="18" spans="2:9" s="14" customFormat="1" ht="24.75" customHeight="1">
      <c r="B18" s="49"/>
      <c r="C18" s="401"/>
      <c r="E18" s="401"/>
      <c r="F18" s="401"/>
      <c r="G18" s="401"/>
      <c r="I18" s="8"/>
    </row>
    <row r="19" ht="24.75" customHeight="1">
      <c r="A19" s="7" t="s">
        <v>819</v>
      </c>
    </row>
    <row r="20" ht="24.75" customHeight="1">
      <c r="B20" s="6" t="s">
        <v>1036</v>
      </c>
    </row>
    <row r="21" ht="24.75" customHeight="1">
      <c r="B21" s="6" t="s">
        <v>259</v>
      </c>
    </row>
  </sheetData>
  <sheetProtection/>
  <mergeCells count="1">
    <mergeCell ref="A1:G1"/>
  </mergeCells>
  <printOptions/>
  <pageMargins left="0.52" right="0.26" top="0.59" bottom="0.51" header="0.26" footer="0.1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9"/>
  <sheetViews>
    <sheetView zoomScaleSheetLayoutView="100" zoomScalePageLayoutView="0" workbookViewId="0" topLeftCell="A1">
      <selection activeCell="A137" sqref="A137"/>
    </sheetView>
  </sheetViews>
  <sheetFormatPr defaultColWidth="9.140625" defaultRowHeight="21.75" customHeight="1"/>
  <cols>
    <col min="1" max="1" width="5.28125" style="86" customWidth="1"/>
    <col min="2" max="2" width="37.00390625" style="86" bestFit="1" customWidth="1"/>
    <col min="3" max="3" width="15.7109375" style="86" customWidth="1"/>
    <col min="4" max="4" width="9.28125" style="86" customWidth="1"/>
    <col min="5" max="5" width="10.28125" style="86" customWidth="1"/>
    <col min="6" max="6" width="0.71875" style="86" customWidth="1"/>
    <col min="7" max="7" width="10.28125" style="86" customWidth="1"/>
    <col min="8" max="8" width="0.71875" style="86" customWidth="1"/>
    <col min="9" max="9" width="10.28125" style="86" customWidth="1"/>
    <col min="10" max="10" width="0.71875" style="86" customWidth="1"/>
    <col min="11" max="11" width="10.28125" style="86" customWidth="1"/>
    <col min="12" max="12" width="0.71875" style="86" customWidth="1"/>
    <col min="13" max="13" width="13.00390625" style="86" bestFit="1" customWidth="1"/>
    <col min="14" max="14" width="0.71875" style="86" customWidth="1"/>
    <col min="15" max="15" width="13.00390625" style="86" bestFit="1" customWidth="1"/>
    <col min="16" max="16" width="0.71875" style="86" customWidth="1"/>
    <col min="17" max="17" width="13.7109375" style="86" customWidth="1"/>
    <col min="18" max="18" width="0.71875" style="86" customWidth="1"/>
    <col min="19" max="19" width="13.7109375" style="86" customWidth="1"/>
    <col min="20" max="20" width="0.85546875" style="86" customWidth="1"/>
    <col min="21" max="21" width="11.8515625" style="86" customWidth="1"/>
    <col min="22" max="22" width="0.71875" style="86" customWidth="1"/>
    <col min="23" max="23" width="11.57421875" style="86" customWidth="1"/>
    <col min="24" max="24" width="3.28125" style="86" customWidth="1"/>
    <col min="25" max="25" width="13.00390625" style="86" bestFit="1" customWidth="1"/>
    <col min="26" max="16384" width="9.140625" style="86" customWidth="1"/>
  </cols>
  <sheetData>
    <row r="1" spans="1:24" ht="21.75" customHeight="1">
      <c r="A1" s="656" t="s">
        <v>445</v>
      </c>
      <c r="B1" s="656"/>
      <c r="C1" s="656"/>
      <c r="D1" s="656"/>
      <c r="E1" s="656"/>
      <c r="F1" s="656"/>
      <c r="G1" s="656"/>
      <c r="H1" s="656"/>
      <c r="I1" s="656"/>
      <c r="J1" s="656"/>
      <c r="K1" s="656"/>
      <c r="L1" s="656"/>
      <c r="M1" s="656"/>
      <c r="N1" s="656"/>
      <c r="O1" s="656"/>
      <c r="P1" s="656"/>
      <c r="Q1" s="656"/>
      <c r="R1" s="656"/>
      <c r="S1" s="656"/>
      <c r="T1" s="656"/>
      <c r="U1" s="656"/>
      <c r="V1" s="656"/>
      <c r="W1" s="656"/>
      <c r="X1" s="85"/>
    </row>
    <row r="2" spans="1:24" ht="21.7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4" ht="21.75" customHeight="1">
      <c r="A3" s="87" t="s">
        <v>101</v>
      </c>
      <c r="D3" s="85"/>
    </row>
    <row r="4" spans="4:16" ht="21.75" customHeight="1">
      <c r="D4" s="85"/>
      <c r="O4" s="88"/>
      <c r="P4" s="88"/>
    </row>
    <row r="5" spans="1:24" ht="21.75" customHeight="1">
      <c r="A5" s="89" t="s">
        <v>350</v>
      </c>
      <c r="B5" s="90" t="s">
        <v>112</v>
      </c>
      <c r="C5" s="90" t="s">
        <v>446</v>
      </c>
      <c r="D5" s="91" t="s">
        <v>349</v>
      </c>
      <c r="E5" s="657" t="s">
        <v>447</v>
      </c>
      <c r="F5" s="657"/>
      <c r="G5" s="657"/>
      <c r="H5" s="91"/>
      <c r="I5" s="657" t="s">
        <v>1213</v>
      </c>
      <c r="J5" s="657"/>
      <c r="K5" s="657"/>
      <c r="L5" s="91"/>
      <c r="M5" s="658" t="s">
        <v>448</v>
      </c>
      <c r="N5" s="658"/>
      <c r="O5" s="658"/>
      <c r="P5" s="89"/>
      <c r="Q5" s="658" t="s">
        <v>513</v>
      </c>
      <c r="R5" s="658"/>
      <c r="S5" s="658"/>
      <c r="T5" s="89"/>
      <c r="U5" s="658" t="s">
        <v>352</v>
      </c>
      <c r="V5" s="658"/>
      <c r="W5" s="658"/>
      <c r="X5" s="92"/>
    </row>
    <row r="6" spans="1:24" ht="21.75" customHeight="1">
      <c r="A6" s="93"/>
      <c r="B6" s="93"/>
      <c r="C6" s="93"/>
      <c r="D6" s="94"/>
      <c r="E6" s="662"/>
      <c r="F6" s="662"/>
      <c r="G6" s="662"/>
      <c r="H6" s="95"/>
      <c r="I6" s="662"/>
      <c r="J6" s="662"/>
      <c r="K6" s="662"/>
      <c r="L6" s="95"/>
      <c r="M6" s="659" t="s">
        <v>514</v>
      </c>
      <c r="N6" s="659"/>
      <c r="O6" s="659"/>
      <c r="P6" s="434"/>
      <c r="Q6" s="659"/>
      <c r="R6" s="659"/>
      <c r="S6" s="659"/>
      <c r="T6" s="434"/>
      <c r="U6" s="659"/>
      <c r="V6" s="659"/>
      <c r="W6" s="659"/>
      <c r="X6" s="93"/>
    </row>
    <row r="7" spans="1:24" ht="21.75" customHeight="1">
      <c r="A7" s="93"/>
      <c r="B7" s="93"/>
      <c r="C7" s="93"/>
      <c r="D7" s="94"/>
      <c r="E7" s="660" t="s">
        <v>354</v>
      </c>
      <c r="F7" s="660"/>
      <c r="G7" s="660"/>
      <c r="H7" s="94"/>
      <c r="I7" s="660" t="s">
        <v>655</v>
      </c>
      <c r="J7" s="660"/>
      <c r="K7" s="660"/>
      <c r="L7" s="94"/>
      <c r="M7" s="661" t="s">
        <v>353</v>
      </c>
      <c r="N7" s="661"/>
      <c r="O7" s="661"/>
      <c r="P7" s="96"/>
      <c r="Q7" s="661" t="s">
        <v>353</v>
      </c>
      <c r="R7" s="661"/>
      <c r="S7" s="661"/>
      <c r="T7" s="96"/>
      <c r="U7" s="661" t="s">
        <v>353</v>
      </c>
      <c r="V7" s="661"/>
      <c r="W7" s="661"/>
      <c r="X7" s="96"/>
    </row>
    <row r="8" spans="1:24" ht="21.75" customHeight="1">
      <c r="A8" s="97"/>
      <c r="B8" s="97"/>
      <c r="C8" s="97"/>
      <c r="D8" s="95"/>
      <c r="E8" s="95">
        <v>2009</v>
      </c>
      <c r="F8" s="94"/>
      <c r="G8" s="95">
        <v>2008</v>
      </c>
      <c r="H8" s="94"/>
      <c r="I8" s="95">
        <v>2009</v>
      </c>
      <c r="J8" s="94"/>
      <c r="K8" s="95">
        <v>2008</v>
      </c>
      <c r="L8" s="94"/>
      <c r="M8" s="95">
        <v>2009</v>
      </c>
      <c r="N8" s="94"/>
      <c r="O8" s="95">
        <v>2008</v>
      </c>
      <c r="P8" s="94"/>
      <c r="Q8" s="95">
        <v>2009</v>
      </c>
      <c r="R8" s="94"/>
      <c r="S8" s="95">
        <v>2008</v>
      </c>
      <c r="T8" s="94"/>
      <c r="U8" s="95">
        <v>2009</v>
      </c>
      <c r="V8" s="94"/>
      <c r="W8" s="95">
        <v>2008</v>
      </c>
      <c r="X8" s="96"/>
    </row>
    <row r="9" spans="1:25" ht="21.75" customHeight="1">
      <c r="A9" s="94">
        <v>1</v>
      </c>
      <c r="B9" s="43" t="s">
        <v>355</v>
      </c>
      <c r="C9" s="98" t="s">
        <v>356</v>
      </c>
      <c r="D9" s="94" t="s">
        <v>382</v>
      </c>
      <c r="E9" s="193">
        <v>120000</v>
      </c>
      <c r="F9" s="193"/>
      <c r="G9" s="193">
        <v>120000</v>
      </c>
      <c r="H9" s="193"/>
      <c r="I9" s="194">
        <v>23.52</v>
      </c>
      <c r="J9" s="194">
        <v>23.52</v>
      </c>
      <c r="K9" s="194">
        <v>23.52</v>
      </c>
      <c r="L9" s="194"/>
      <c r="M9" s="459">
        <v>621041655.66</v>
      </c>
      <c r="N9" s="195"/>
      <c r="O9" s="195">
        <v>595131013.59</v>
      </c>
      <c r="P9" s="195"/>
      <c r="Q9" s="195">
        <v>28688920.22</v>
      </c>
      <c r="R9" s="195"/>
      <c r="S9" s="195">
        <v>28688920.22</v>
      </c>
      <c r="T9" s="195"/>
      <c r="U9" s="459">
        <v>15239242.8</v>
      </c>
      <c r="V9" s="195"/>
      <c r="W9" s="195">
        <v>28503028.2</v>
      </c>
      <c r="X9" s="99"/>
      <c r="Y9" s="196"/>
    </row>
    <row r="10" spans="1:25" ht="21.75" customHeight="1">
      <c r="A10" s="94">
        <v>2</v>
      </c>
      <c r="B10" s="43" t="s">
        <v>358</v>
      </c>
      <c r="C10" s="98" t="s">
        <v>359</v>
      </c>
      <c r="D10" s="94" t="s">
        <v>246</v>
      </c>
      <c r="E10" s="193">
        <v>180000</v>
      </c>
      <c r="F10" s="193"/>
      <c r="G10" s="193">
        <v>180000</v>
      </c>
      <c r="H10" s="193"/>
      <c r="I10" s="194">
        <v>21.82</v>
      </c>
      <c r="J10" s="194">
        <v>21.82</v>
      </c>
      <c r="K10" s="194">
        <v>21.82</v>
      </c>
      <c r="L10" s="194"/>
      <c r="M10" s="459">
        <v>1480354790.44</v>
      </c>
      <c r="N10" s="195"/>
      <c r="O10" s="195">
        <v>1268637688.0826</v>
      </c>
      <c r="P10" s="195"/>
      <c r="Q10" s="195">
        <v>57595150</v>
      </c>
      <c r="R10" s="195"/>
      <c r="S10" s="195">
        <v>57595150</v>
      </c>
      <c r="T10" s="195"/>
      <c r="U10" s="459">
        <v>88331319.18</v>
      </c>
      <c r="V10" s="195"/>
      <c r="W10" s="195">
        <f>23918974.38+29653598.2-354.1</f>
        <v>53572218.48</v>
      </c>
      <c r="X10" s="99"/>
      <c r="Y10" s="196"/>
    </row>
    <row r="11" spans="1:25" ht="21.75" customHeight="1">
      <c r="A11" s="94">
        <v>3</v>
      </c>
      <c r="B11" s="43" t="s">
        <v>360</v>
      </c>
      <c r="C11" s="98" t="s">
        <v>361</v>
      </c>
      <c r="D11" s="94" t="s">
        <v>246</v>
      </c>
      <c r="E11" s="193">
        <v>120000</v>
      </c>
      <c r="F11" s="193"/>
      <c r="G11" s="193">
        <v>120000</v>
      </c>
      <c r="H11" s="193"/>
      <c r="I11" s="194">
        <v>21.26</v>
      </c>
      <c r="J11" s="194">
        <v>21.26</v>
      </c>
      <c r="K11" s="194">
        <v>21.26</v>
      </c>
      <c r="L11" s="194"/>
      <c r="M11" s="459">
        <v>1014263458.66</v>
      </c>
      <c r="N11" s="195"/>
      <c r="O11" s="195">
        <v>975248195.69</v>
      </c>
      <c r="P11" s="195"/>
      <c r="Q11" s="195">
        <v>63545155</v>
      </c>
      <c r="R11" s="195"/>
      <c r="S11" s="195">
        <v>63545155</v>
      </c>
      <c r="T11" s="195"/>
      <c r="U11" s="459">
        <v>38268750</v>
      </c>
      <c r="V11" s="195"/>
      <c r="W11" s="195">
        <v>33166250</v>
      </c>
      <c r="X11" s="99"/>
      <c r="Y11" s="196"/>
    </row>
    <row r="12" spans="1:25" ht="21.75" customHeight="1">
      <c r="A12" s="94">
        <v>4</v>
      </c>
      <c r="B12" s="43" t="s">
        <v>362</v>
      </c>
      <c r="C12" s="98" t="s">
        <v>363</v>
      </c>
      <c r="D12" s="94" t="s">
        <v>246</v>
      </c>
      <c r="E12" s="193">
        <v>318422</v>
      </c>
      <c r="F12" s="193"/>
      <c r="G12" s="193">
        <v>318422</v>
      </c>
      <c r="H12" s="193"/>
      <c r="I12" s="194">
        <v>20.63</v>
      </c>
      <c r="J12" s="194">
        <v>20.63</v>
      </c>
      <c r="K12" s="194">
        <v>20.63</v>
      </c>
      <c r="L12" s="194"/>
      <c r="M12" s="459">
        <v>1239578441.35</v>
      </c>
      <c r="N12" s="195"/>
      <c r="O12" s="195">
        <v>1115747640.6499999</v>
      </c>
      <c r="P12" s="195"/>
      <c r="Q12" s="195">
        <v>307112623.32</v>
      </c>
      <c r="R12" s="195"/>
      <c r="S12" s="195">
        <v>307112623.32</v>
      </c>
      <c r="T12" s="195"/>
      <c r="U12" s="459">
        <v>39417819</v>
      </c>
      <c r="V12" s="195"/>
      <c r="W12" s="195">
        <v>30971143.5</v>
      </c>
      <c r="X12" s="99"/>
      <c r="Y12" s="196"/>
    </row>
    <row r="13" spans="1:25" ht="21.75" customHeight="1">
      <c r="A13" s="94">
        <v>5</v>
      </c>
      <c r="B13" s="43" t="s">
        <v>364</v>
      </c>
      <c r="C13" s="98" t="s">
        <v>363</v>
      </c>
      <c r="D13" s="94" t="s">
        <v>246</v>
      </c>
      <c r="E13" s="193">
        <v>290634</v>
      </c>
      <c r="F13" s="193"/>
      <c r="G13" s="193">
        <v>290634</v>
      </c>
      <c r="H13" s="193"/>
      <c r="I13" s="194">
        <v>22.1</v>
      </c>
      <c r="J13" s="194">
        <v>22.1</v>
      </c>
      <c r="K13" s="194">
        <v>22.1</v>
      </c>
      <c r="L13" s="194"/>
      <c r="M13" s="459">
        <v>2532650860.9</v>
      </c>
      <c r="N13" s="195"/>
      <c r="O13" s="195">
        <v>2380745839.3600006</v>
      </c>
      <c r="P13" s="195"/>
      <c r="Q13" s="195">
        <v>659099008.89</v>
      </c>
      <c r="R13" s="195"/>
      <c r="S13" s="195">
        <v>659099008.89</v>
      </c>
      <c r="T13" s="195"/>
      <c r="U13" s="459">
        <v>64231640</v>
      </c>
      <c r="V13" s="195"/>
      <c r="W13" s="195">
        <v>64231640</v>
      </c>
      <c r="X13" s="99"/>
      <c r="Y13" s="196"/>
    </row>
    <row r="14" spans="1:25" ht="21.75" customHeight="1">
      <c r="A14" s="94">
        <v>6</v>
      </c>
      <c r="B14" s="43" t="s">
        <v>365</v>
      </c>
      <c r="C14" s="98" t="s">
        <v>366</v>
      </c>
      <c r="D14" s="94" t="s">
        <v>246</v>
      </c>
      <c r="E14" s="197">
        <v>60000</v>
      </c>
      <c r="F14" s="197"/>
      <c r="G14" s="197">
        <v>60000</v>
      </c>
      <c r="H14" s="197"/>
      <c r="I14" s="194">
        <v>37.73</v>
      </c>
      <c r="J14" s="194">
        <v>37.73</v>
      </c>
      <c r="K14" s="194">
        <v>37.73</v>
      </c>
      <c r="L14" s="194"/>
      <c r="M14" s="459">
        <v>426009191.77</v>
      </c>
      <c r="N14" s="195"/>
      <c r="O14" s="195">
        <v>413406199.61</v>
      </c>
      <c r="P14" s="195"/>
      <c r="Q14" s="195">
        <v>22639600</v>
      </c>
      <c r="R14" s="195"/>
      <c r="S14" s="195">
        <v>22639600</v>
      </c>
      <c r="T14" s="195"/>
      <c r="U14" s="459">
        <v>22639600</v>
      </c>
      <c r="V14" s="195"/>
      <c r="W14" s="195">
        <v>10187820</v>
      </c>
      <c r="X14" s="99"/>
      <c r="Y14" s="198"/>
    </row>
    <row r="15" spans="1:25" ht="21.75" customHeight="1">
      <c r="A15" s="94">
        <v>7</v>
      </c>
      <c r="B15" s="43" t="s">
        <v>368</v>
      </c>
      <c r="C15" s="98" t="s">
        <v>369</v>
      </c>
      <c r="D15" s="94" t="s">
        <v>118</v>
      </c>
      <c r="E15" s="197">
        <v>20000</v>
      </c>
      <c r="F15" s="197"/>
      <c r="G15" s="197">
        <v>20000</v>
      </c>
      <c r="H15" s="197"/>
      <c r="I15" s="194">
        <v>33.52</v>
      </c>
      <c r="J15" s="194">
        <v>33.52</v>
      </c>
      <c r="K15" s="194">
        <v>33.52</v>
      </c>
      <c r="L15" s="194"/>
      <c r="M15" s="459">
        <v>32496761.98</v>
      </c>
      <c r="N15" s="199"/>
      <c r="O15" s="199">
        <v>35032670.35</v>
      </c>
      <c r="P15" s="199"/>
      <c r="Q15" s="195">
        <v>6704000</v>
      </c>
      <c r="R15" s="195"/>
      <c r="S15" s="195">
        <v>6704000</v>
      </c>
      <c r="T15" s="195"/>
      <c r="U15" s="459">
        <v>1005600</v>
      </c>
      <c r="V15" s="195"/>
      <c r="W15" s="195">
        <v>1005600</v>
      </c>
      <c r="X15" s="99"/>
      <c r="Y15" s="198"/>
    </row>
    <row r="16" spans="1:25" ht="21.75" customHeight="1">
      <c r="A16" s="94">
        <v>8</v>
      </c>
      <c r="B16" s="43" t="s">
        <v>370</v>
      </c>
      <c r="C16" s="98" t="s">
        <v>356</v>
      </c>
      <c r="D16" s="94" t="s">
        <v>126</v>
      </c>
      <c r="E16" s="197">
        <v>50000</v>
      </c>
      <c r="F16" s="197"/>
      <c r="G16" s="197">
        <v>50000</v>
      </c>
      <c r="H16" s="197"/>
      <c r="I16" s="194">
        <v>31</v>
      </c>
      <c r="J16" s="194">
        <v>31</v>
      </c>
      <c r="K16" s="194">
        <v>31</v>
      </c>
      <c r="L16" s="194"/>
      <c r="M16" s="459">
        <v>2502344.45</v>
      </c>
      <c r="N16" s="195"/>
      <c r="O16" s="195">
        <v>1096156.24</v>
      </c>
      <c r="P16" s="195"/>
      <c r="Q16" s="195">
        <v>14752029.69</v>
      </c>
      <c r="R16" s="195"/>
      <c r="S16" s="195">
        <v>14752029.69</v>
      </c>
      <c r="T16" s="195"/>
      <c r="U16" s="459">
        <v>0</v>
      </c>
      <c r="V16" s="195"/>
      <c r="W16" s="195">
        <v>0</v>
      </c>
      <c r="X16" s="99"/>
      <c r="Y16" s="198"/>
    </row>
    <row r="17" spans="1:25" ht="21.75" customHeight="1">
      <c r="A17" s="94">
        <v>9</v>
      </c>
      <c r="B17" s="43" t="s">
        <v>374</v>
      </c>
      <c r="C17" s="98" t="s">
        <v>675</v>
      </c>
      <c r="D17" s="94" t="s">
        <v>126</v>
      </c>
      <c r="E17" s="197">
        <v>15000</v>
      </c>
      <c r="F17" s="197"/>
      <c r="G17" s="197">
        <v>15000</v>
      </c>
      <c r="H17" s="197"/>
      <c r="I17" s="194">
        <v>40</v>
      </c>
      <c r="J17" s="194">
        <v>40</v>
      </c>
      <c r="K17" s="194">
        <v>40</v>
      </c>
      <c r="L17" s="194"/>
      <c r="M17" s="459">
        <v>14977888.35</v>
      </c>
      <c r="N17" s="195"/>
      <c r="O17" s="195">
        <v>13851024.22</v>
      </c>
      <c r="P17" s="195"/>
      <c r="Q17" s="195">
        <v>6000000</v>
      </c>
      <c r="R17" s="195"/>
      <c r="S17" s="195">
        <v>6000000</v>
      </c>
      <c r="T17" s="195"/>
      <c r="U17" s="459">
        <v>600000</v>
      </c>
      <c r="V17" s="195"/>
      <c r="W17" s="195">
        <v>1200000</v>
      </c>
      <c r="X17" s="99"/>
      <c r="Y17" s="198"/>
    </row>
    <row r="18" spans="1:25" ht="21.75" customHeight="1">
      <c r="A18" s="94">
        <v>10</v>
      </c>
      <c r="B18" s="43" t="s">
        <v>375</v>
      </c>
      <c r="C18" s="98" t="s">
        <v>376</v>
      </c>
      <c r="D18" s="94" t="s">
        <v>621</v>
      </c>
      <c r="E18" s="197">
        <v>100000</v>
      </c>
      <c r="F18" s="197"/>
      <c r="G18" s="197">
        <v>100000</v>
      </c>
      <c r="H18" s="197"/>
      <c r="I18" s="194">
        <v>29.73</v>
      </c>
      <c r="J18" s="194">
        <v>29.73</v>
      </c>
      <c r="K18" s="194">
        <v>29.73</v>
      </c>
      <c r="L18" s="194"/>
      <c r="M18" s="459">
        <v>22726685.58</v>
      </c>
      <c r="N18" s="195"/>
      <c r="O18" s="195">
        <v>22135287</v>
      </c>
      <c r="P18" s="195"/>
      <c r="Q18" s="195">
        <v>33191684</v>
      </c>
      <c r="R18" s="195"/>
      <c r="S18" s="195">
        <v>33191684</v>
      </c>
      <c r="T18" s="195"/>
      <c r="U18" s="459">
        <v>0</v>
      </c>
      <c r="V18" s="195"/>
      <c r="W18" s="195">
        <v>0</v>
      </c>
      <c r="X18" s="99"/>
      <c r="Y18" s="198"/>
    </row>
    <row r="19" spans="1:25" ht="21.75" customHeight="1">
      <c r="A19" s="94">
        <v>11</v>
      </c>
      <c r="B19" s="43" t="s">
        <v>377</v>
      </c>
      <c r="C19" s="98" t="s">
        <v>378</v>
      </c>
      <c r="D19" s="94" t="s">
        <v>246</v>
      </c>
      <c r="E19" s="197">
        <v>40000</v>
      </c>
      <c r="F19" s="197"/>
      <c r="G19" s="197">
        <v>40000</v>
      </c>
      <c r="H19" s="197"/>
      <c r="I19" s="194">
        <v>28.15</v>
      </c>
      <c r="J19" s="194">
        <v>28.15</v>
      </c>
      <c r="K19" s="194">
        <v>28.15</v>
      </c>
      <c r="L19" s="194"/>
      <c r="M19" s="459">
        <v>53444975.95</v>
      </c>
      <c r="N19" s="195"/>
      <c r="O19" s="195">
        <v>50192600.120000005</v>
      </c>
      <c r="P19" s="195"/>
      <c r="Q19" s="195">
        <v>11258200</v>
      </c>
      <c r="R19" s="195"/>
      <c r="S19" s="195">
        <v>11258200</v>
      </c>
      <c r="T19" s="195"/>
      <c r="U19" s="459">
        <v>1688730</v>
      </c>
      <c r="V19" s="195"/>
      <c r="W19" s="195">
        <v>1688730</v>
      </c>
      <c r="X19" s="99"/>
      <c r="Y19" s="198"/>
    </row>
    <row r="20" spans="1:25" ht="21.75" customHeight="1">
      <c r="A20" s="94">
        <v>12</v>
      </c>
      <c r="B20" s="43" t="s">
        <v>379</v>
      </c>
      <c r="C20" s="98" t="s">
        <v>380</v>
      </c>
      <c r="D20" s="94" t="s">
        <v>245</v>
      </c>
      <c r="E20" s="197">
        <v>300000</v>
      </c>
      <c r="F20" s="197"/>
      <c r="G20" s="197">
        <v>300000</v>
      </c>
      <c r="H20" s="197"/>
      <c r="I20" s="194">
        <v>24.8</v>
      </c>
      <c r="J20" s="194">
        <v>24.8</v>
      </c>
      <c r="K20" s="194">
        <v>24.8</v>
      </c>
      <c r="L20" s="194"/>
      <c r="M20" s="459">
        <v>422621669.72</v>
      </c>
      <c r="N20" s="195"/>
      <c r="O20" s="195">
        <v>376723323.3399999</v>
      </c>
      <c r="P20" s="195"/>
      <c r="Q20" s="195">
        <v>74400000</v>
      </c>
      <c r="R20" s="195"/>
      <c r="S20" s="195">
        <v>74400000</v>
      </c>
      <c r="T20" s="195"/>
      <c r="U20" s="459">
        <v>35526000</v>
      </c>
      <c r="V20" s="195"/>
      <c r="W20" s="195">
        <f>27944640+11978400</f>
        <v>39923040</v>
      </c>
      <c r="X20" s="99"/>
      <c r="Y20" s="198"/>
    </row>
    <row r="21" spans="1:25" ht="21.75" customHeight="1">
      <c r="A21" s="94">
        <v>13</v>
      </c>
      <c r="B21" s="43" t="s">
        <v>381</v>
      </c>
      <c r="C21" s="98" t="s">
        <v>378</v>
      </c>
      <c r="D21" s="94" t="s">
        <v>246</v>
      </c>
      <c r="E21" s="197">
        <v>20000</v>
      </c>
      <c r="F21" s="197"/>
      <c r="G21" s="197">
        <v>20000</v>
      </c>
      <c r="H21" s="197"/>
      <c r="I21" s="194">
        <v>26.25</v>
      </c>
      <c r="J21" s="194">
        <v>26.25</v>
      </c>
      <c r="K21" s="194">
        <v>26.25</v>
      </c>
      <c r="L21" s="194"/>
      <c r="M21" s="459">
        <v>136451406.1</v>
      </c>
      <c r="N21" s="195"/>
      <c r="O21" s="195">
        <v>136672914.95</v>
      </c>
      <c r="P21" s="195"/>
      <c r="Q21" s="195">
        <v>5250000</v>
      </c>
      <c r="R21" s="195"/>
      <c r="S21" s="195">
        <v>5250000</v>
      </c>
      <c r="T21" s="195"/>
      <c r="U21" s="459">
        <v>0</v>
      </c>
      <c r="V21" s="195"/>
      <c r="W21" s="195">
        <v>0</v>
      </c>
      <c r="X21" s="99"/>
      <c r="Y21" s="198"/>
    </row>
    <row r="22" spans="1:25" ht="21.75" customHeight="1">
      <c r="A22" s="94">
        <v>14</v>
      </c>
      <c r="B22" s="43" t="s">
        <v>106</v>
      </c>
      <c r="C22" s="98" t="s">
        <v>383</v>
      </c>
      <c r="D22" s="94" t="s">
        <v>246</v>
      </c>
      <c r="E22" s="197">
        <v>60000</v>
      </c>
      <c r="F22" s="197"/>
      <c r="G22" s="197">
        <v>60000</v>
      </c>
      <c r="H22" s="197"/>
      <c r="I22" s="194">
        <v>25</v>
      </c>
      <c r="J22" s="194">
        <v>25</v>
      </c>
      <c r="K22" s="194">
        <v>25</v>
      </c>
      <c r="L22" s="194"/>
      <c r="M22" s="459">
        <v>489602900.17</v>
      </c>
      <c r="N22" s="195"/>
      <c r="O22" s="195">
        <f>448166499.41+1037706.11</f>
        <v>449204205.52000004</v>
      </c>
      <c r="P22" s="195"/>
      <c r="Q22" s="195">
        <v>15000000</v>
      </c>
      <c r="R22" s="195"/>
      <c r="S22" s="195">
        <v>15000000</v>
      </c>
      <c r="T22" s="195"/>
      <c r="U22" s="459">
        <v>22500000</v>
      </c>
      <c r="V22" s="195"/>
      <c r="W22" s="195">
        <v>15000000</v>
      </c>
      <c r="X22" s="99"/>
      <c r="Y22" s="198"/>
    </row>
    <row r="23" spans="1:25" ht="21.75" customHeight="1">
      <c r="A23" s="94">
        <v>15</v>
      </c>
      <c r="B23" s="43" t="s">
        <v>384</v>
      </c>
      <c r="C23" s="98" t="s">
        <v>385</v>
      </c>
      <c r="D23" s="94" t="s">
        <v>367</v>
      </c>
      <c r="E23" s="459">
        <v>0</v>
      </c>
      <c r="F23" s="197"/>
      <c r="G23" s="197">
        <v>40000</v>
      </c>
      <c r="H23" s="197"/>
      <c r="I23" s="459">
        <v>0</v>
      </c>
      <c r="J23" s="194"/>
      <c r="K23" s="194">
        <v>25</v>
      </c>
      <c r="L23" s="194"/>
      <c r="M23" s="459">
        <v>0</v>
      </c>
      <c r="N23" s="195"/>
      <c r="O23" s="195">
        <v>6440764.949999999</v>
      </c>
      <c r="P23" s="195"/>
      <c r="Q23" s="459">
        <v>0</v>
      </c>
      <c r="R23" s="195"/>
      <c r="S23" s="195">
        <v>10000000</v>
      </c>
      <c r="T23" s="195"/>
      <c r="U23" s="459">
        <v>0</v>
      </c>
      <c r="V23" s="195"/>
      <c r="W23" s="195">
        <v>0</v>
      </c>
      <c r="X23" s="99"/>
      <c r="Y23" s="198"/>
    </row>
    <row r="24" spans="1:25" ht="21.75" customHeight="1">
      <c r="A24" s="94">
        <v>16</v>
      </c>
      <c r="B24" s="43" t="s">
        <v>386</v>
      </c>
      <c r="C24" s="98" t="s">
        <v>387</v>
      </c>
      <c r="D24" s="94" t="s">
        <v>255</v>
      </c>
      <c r="E24" s="459">
        <v>0</v>
      </c>
      <c r="F24" s="197"/>
      <c r="G24" s="197">
        <v>20000</v>
      </c>
      <c r="H24" s="197"/>
      <c r="I24" s="459">
        <v>0</v>
      </c>
      <c r="J24" s="194"/>
      <c r="K24" s="194">
        <v>25</v>
      </c>
      <c r="L24" s="194"/>
      <c r="M24" s="459">
        <v>0</v>
      </c>
      <c r="N24" s="195"/>
      <c r="O24" s="195">
        <v>3208669.96</v>
      </c>
      <c r="P24" s="195"/>
      <c r="Q24" s="459">
        <v>0</v>
      </c>
      <c r="R24" s="195"/>
      <c r="S24" s="195">
        <v>5000000</v>
      </c>
      <c r="T24" s="195"/>
      <c r="U24" s="459">
        <v>0</v>
      </c>
      <c r="V24" s="195"/>
      <c r="W24" s="195">
        <v>0</v>
      </c>
      <c r="X24" s="99"/>
      <c r="Y24" s="198"/>
    </row>
    <row r="25" spans="1:25" ht="21.75" customHeight="1">
      <c r="A25" s="94">
        <v>17</v>
      </c>
      <c r="B25" s="43" t="s">
        <v>388</v>
      </c>
      <c r="C25" s="98" t="s">
        <v>389</v>
      </c>
      <c r="D25" s="94" t="s">
        <v>126</v>
      </c>
      <c r="E25" s="197">
        <v>80000</v>
      </c>
      <c r="F25" s="197"/>
      <c r="G25" s="197">
        <v>80000</v>
      </c>
      <c r="H25" s="197"/>
      <c r="I25" s="194">
        <v>23.75</v>
      </c>
      <c r="J25" s="194"/>
      <c r="K25" s="194">
        <v>23.75</v>
      </c>
      <c r="L25" s="194"/>
      <c r="M25" s="459">
        <v>25503389.5</v>
      </c>
      <c r="N25" s="195"/>
      <c r="O25" s="195">
        <v>25521730.05</v>
      </c>
      <c r="P25" s="195"/>
      <c r="Q25" s="195">
        <v>18999800</v>
      </c>
      <c r="R25" s="195"/>
      <c r="S25" s="195">
        <v>18999800</v>
      </c>
      <c r="T25" s="195"/>
      <c r="U25" s="459">
        <v>474995</v>
      </c>
      <c r="V25" s="195"/>
      <c r="W25" s="195">
        <v>759992</v>
      </c>
      <c r="X25" s="99"/>
      <c r="Y25" s="198"/>
    </row>
    <row r="26" spans="1:25" ht="21.75" customHeight="1">
      <c r="A26" s="94">
        <v>18</v>
      </c>
      <c r="B26" s="43" t="s">
        <v>390</v>
      </c>
      <c r="C26" s="98" t="s">
        <v>356</v>
      </c>
      <c r="D26" s="94" t="s">
        <v>246</v>
      </c>
      <c r="E26" s="197">
        <v>40000</v>
      </c>
      <c r="F26" s="197"/>
      <c r="G26" s="197">
        <v>40000</v>
      </c>
      <c r="H26" s="197"/>
      <c r="I26" s="194">
        <v>22.5</v>
      </c>
      <c r="J26" s="194"/>
      <c r="K26" s="194">
        <v>22.5</v>
      </c>
      <c r="L26" s="194"/>
      <c r="M26" s="459">
        <v>49049380.07</v>
      </c>
      <c r="N26" s="195"/>
      <c r="O26" s="195">
        <v>48716908.54999998</v>
      </c>
      <c r="P26" s="195"/>
      <c r="Q26" s="195">
        <v>9000000</v>
      </c>
      <c r="R26" s="195"/>
      <c r="S26" s="195">
        <v>9000000</v>
      </c>
      <c r="T26" s="195"/>
      <c r="U26" s="459">
        <v>2250000</v>
      </c>
      <c r="V26" s="195"/>
      <c r="W26" s="195">
        <v>2250000</v>
      </c>
      <c r="X26" s="99"/>
      <c r="Y26" s="198"/>
    </row>
    <row r="27" spans="1:25" ht="21.75" customHeight="1">
      <c r="A27" s="94">
        <v>19</v>
      </c>
      <c r="B27" s="43" t="s">
        <v>391</v>
      </c>
      <c r="C27" s="98" t="s">
        <v>392</v>
      </c>
      <c r="D27" s="94" t="s">
        <v>621</v>
      </c>
      <c r="E27" s="197">
        <v>160000</v>
      </c>
      <c r="F27" s="197"/>
      <c r="G27" s="197">
        <v>160000</v>
      </c>
      <c r="H27" s="197"/>
      <c r="I27" s="194">
        <v>21</v>
      </c>
      <c r="J27" s="194"/>
      <c r="K27" s="194">
        <v>21</v>
      </c>
      <c r="L27" s="194"/>
      <c r="M27" s="459">
        <v>88713297.66</v>
      </c>
      <c r="N27" s="195"/>
      <c r="O27" s="195">
        <v>87826636.05000001</v>
      </c>
      <c r="P27" s="195"/>
      <c r="Q27" s="195">
        <v>33600000</v>
      </c>
      <c r="R27" s="195"/>
      <c r="S27" s="195">
        <v>33600000</v>
      </c>
      <c r="T27" s="195"/>
      <c r="U27" s="459">
        <v>672000</v>
      </c>
      <c r="V27" s="195"/>
      <c r="W27" s="195">
        <v>672000</v>
      </c>
      <c r="X27" s="99"/>
      <c r="Y27" s="198"/>
    </row>
    <row r="28" spans="1:25" ht="21.75" customHeight="1">
      <c r="A28" s="94">
        <v>20</v>
      </c>
      <c r="B28" s="43" t="s">
        <v>372</v>
      </c>
      <c r="C28" s="98" t="s">
        <v>356</v>
      </c>
      <c r="D28" s="94" t="s">
        <v>245</v>
      </c>
      <c r="E28" s="197">
        <v>36000</v>
      </c>
      <c r="F28" s="197"/>
      <c r="G28" s="197">
        <v>36000</v>
      </c>
      <c r="H28" s="197"/>
      <c r="I28" s="194">
        <v>20</v>
      </c>
      <c r="J28" s="194"/>
      <c r="K28" s="194">
        <v>20</v>
      </c>
      <c r="L28" s="194"/>
      <c r="M28" s="459">
        <v>16998166.12</v>
      </c>
      <c r="N28" s="195"/>
      <c r="O28" s="195">
        <v>17490881.04</v>
      </c>
      <c r="P28" s="195"/>
      <c r="Q28" s="195">
        <v>7200000</v>
      </c>
      <c r="R28" s="195"/>
      <c r="S28" s="195">
        <v>7200000</v>
      </c>
      <c r="T28" s="195"/>
      <c r="U28" s="459">
        <v>1008000</v>
      </c>
      <c r="V28" s="195"/>
      <c r="W28" s="195">
        <v>576000</v>
      </c>
      <c r="X28" s="99"/>
      <c r="Y28" s="198"/>
    </row>
    <row r="29" spans="1:25" ht="21.75" customHeight="1">
      <c r="A29" s="94">
        <v>21</v>
      </c>
      <c r="B29" s="43" t="s">
        <v>393</v>
      </c>
      <c r="C29" s="98" t="s">
        <v>366</v>
      </c>
      <c r="D29" s="94" t="s">
        <v>382</v>
      </c>
      <c r="E29" s="197">
        <v>60000</v>
      </c>
      <c r="F29" s="197"/>
      <c r="G29" s="197">
        <v>60000</v>
      </c>
      <c r="H29" s="197"/>
      <c r="I29" s="194">
        <v>20</v>
      </c>
      <c r="J29" s="194"/>
      <c r="K29" s="194">
        <v>20</v>
      </c>
      <c r="L29" s="194"/>
      <c r="M29" s="459">
        <v>60321696.14</v>
      </c>
      <c r="N29" s="195"/>
      <c r="O29" s="195">
        <v>53274819.150000006</v>
      </c>
      <c r="P29" s="195"/>
      <c r="Q29" s="195">
        <v>11625000</v>
      </c>
      <c r="R29" s="195"/>
      <c r="S29" s="195">
        <v>11625000</v>
      </c>
      <c r="T29" s="195"/>
      <c r="U29" s="459">
        <v>3600000</v>
      </c>
      <c r="V29" s="195"/>
      <c r="W29" s="195">
        <v>3000000</v>
      </c>
      <c r="X29" s="99"/>
      <c r="Y29" s="198"/>
    </row>
    <row r="30" spans="1:25" ht="21.75" customHeight="1">
      <c r="A30" s="94">
        <v>22</v>
      </c>
      <c r="B30" s="43" t="s">
        <v>394</v>
      </c>
      <c r="C30" s="98" t="s">
        <v>395</v>
      </c>
      <c r="D30" s="94" t="s">
        <v>246</v>
      </c>
      <c r="E30" s="197">
        <v>250000</v>
      </c>
      <c r="F30" s="197"/>
      <c r="G30" s="197">
        <v>250000</v>
      </c>
      <c r="H30" s="197"/>
      <c r="I30" s="194">
        <v>40</v>
      </c>
      <c r="J30" s="194"/>
      <c r="K30" s="194">
        <v>40</v>
      </c>
      <c r="L30" s="194"/>
      <c r="M30" s="459">
        <v>94881418.98</v>
      </c>
      <c r="N30" s="195"/>
      <c r="O30" s="195">
        <v>136867448.38000003</v>
      </c>
      <c r="P30" s="195"/>
      <c r="Q30" s="459">
        <v>100000000</v>
      </c>
      <c r="R30" s="195"/>
      <c r="S30" s="195">
        <v>99999825</v>
      </c>
      <c r="T30" s="195"/>
      <c r="U30" s="459">
        <v>0</v>
      </c>
      <c r="V30" s="195"/>
      <c r="W30" s="195">
        <v>0</v>
      </c>
      <c r="X30" s="99"/>
      <c r="Y30" s="198"/>
    </row>
    <row r="31" spans="1:25" ht="21.75" customHeight="1">
      <c r="A31" s="94">
        <v>23</v>
      </c>
      <c r="B31" s="43" t="s">
        <v>396</v>
      </c>
      <c r="C31" s="98" t="s">
        <v>397</v>
      </c>
      <c r="D31" s="94" t="s">
        <v>246</v>
      </c>
      <c r="E31" s="197">
        <v>10000</v>
      </c>
      <c r="F31" s="197"/>
      <c r="G31" s="197">
        <v>10000</v>
      </c>
      <c r="H31" s="197"/>
      <c r="I31" s="194">
        <v>20</v>
      </c>
      <c r="J31" s="194"/>
      <c r="K31" s="194">
        <v>20</v>
      </c>
      <c r="L31" s="194"/>
      <c r="M31" s="459">
        <v>3811648.36</v>
      </c>
      <c r="N31" s="195"/>
      <c r="O31" s="195">
        <v>3355868.7199999993</v>
      </c>
      <c r="P31" s="195"/>
      <c r="Q31" s="459">
        <v>2000000</v>
      </c>
      <c r="R31" s="195"/>
      <c r="S31" s="195">
        <v>2000000</v>
      </c>
      <c r="T31" s="195"/>
      <c r="U31" s="459">
        <v>200000</v>
      </c>
      <c r="V31" s="195"/>
      <c r="W31" s="195">
        <v>600000</v>
      </c>
      <c r="X31" s="99"/>
      <c r="Y31" s="198"/>
    </row>
    <row r="32" spans="2:24" ht="21.75" customHeight="1">
      <c r="B32" s="87" t="s">
        <v>402</v>
      </c>
      <c r="D32" s="85"/>
      <c r="M32" s="200">
        <f>SUM(M9:M31)</f>
        <v>8828002027.910002</v>
      </c>
      <c r="N32" s="202"/>
      <c r="O32" s="200">
        <f>SUM(O9:O31)</f>
        <v>8216528485.572601</v>
      </c>
      <c r="P32" s="202"/>
      <c r="Q32" s="200">
        <f>SUM(Q9:Q31)</f>
        <v>1487661171.12</v>
      </c>
      <c r="R32" s="202"/>
      <c r="S32" s="200">
        <f>SUM(S9:S31)</f>
        <v>1502660996.12</v>
      </c>
      <c r="T32" s="202"/>
      <c r="U32" s="200">
        <f>SUM(U9:U31)</f>
        <v>337653695.98</v>
      </c>
      <c r="V32" s="202"/>
      <c r="W32" s="200">
        <f>SUM(W9:W31)</f>
        <v>287307462.18</v>
      </c>
      <c r="X32" s="100"/>
    </row>
    <row r="33" spans="2:24" ht="21.75" customHeight="1">
      <c r="B33" s="101" t="s">
        <v>769</v>
      </c>
      <c r="C33" s="102"/>
      <c r="D33" s="102"/>
      <c r="E33" s="103"/>
      <c r="F33" s="103"/>
      <c r="M33" s="460">
        <v>0</v>
      </c>
      <c r="N33" s="201"/>
      <c r="O33" s="201">
        <v>-6440764.95</v>
      </c>
      <c r="P33" s="201"/>
      <c r="Q33" s="201">
        <v>-30658114.91</v>
      </c>
      <c r="R33" s="201"/>
      <c r="S33" s="201">
        <v>-41601553.67</v>
      </c>
      <c r="T33" s="201"/>
      <c r="U33" s="202">
        <v>0</v>
      </c>
      <c r="V33" s="202"/>
      <c r="W33" s="202">
        <v>0</v>
      </c>
      <c r="X33" s="100"/>
    </row>
    <row r="34" spans="2:24" ht="21.75" customHeight="1" thickBot="1">
      <c r="B34" s="101" t="s">
        <v>102</v>
      </c>
      <c r="C34" s="102"/>
      <c r="D34" s="102"/>
      <c r="E34" s="104"/>
      <c r="F34" s="104"/>
      <c r="M34" s="203">
        <f aca="true" t="shared" si="0" ref="M34:W34">SUM(M32:M33)</f>
        <v>8828002027.910002</v>
      </c>
      <c r="N34" s="202"/>
      <c r="O34" s="203">
        <f t="shared" si="0"/>
        <v>8210087720.6226015</v>
      </c>
      <c r="P34" s="202"/>
      <c r="Q34" s="203">
        <f t="shared" si="0"/>
        <v>1457003056.2099998</v>
      </c>
      <c r="R34" s="202"/>
      <c r="S34" s="203">
        <f t="shared" si="0"/>
        <v>1461059442.4499998</v>
      </c>
      <c r="T34" s="202"/>
      <c r="U34" s="203">
        <f t="shared" si="0"/>
        <v>337653695.98</v>
      </c>
      <c r="V34" s="202"/>
      <c r="W34" s="203">
        <f t="shared" si="0"/>
        <v>287307462.18</v>
      </c>
      <c r="X34" s="100"/>
    </row>
    <row r="35" spans="4:24" ht="21.75" customHeight="1" thickTop="1">
      <c r="D35" s="85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</row>
    <row r="36" ht="21.75" customHeight="1">
      <c r="D36" s="85"/>
    </row>
    <row r="37" ht="21.75" customHeight="1">
      <c r="D37" s="85"/>
    </row>
    <row r="38" ht="21.75" customHeight="1">
      <c r="D38" s="85"/>
    </row>
    <row r="39" ht="21.75" customHeight="1">
      <c r="D39" s="85"/>
    </row>
    <row r="40" ht="21.75" customHeight="1">
      <c r="D40" s="85"/>
    </row>
    <row r="41" ht="21.75" customHeight="1">
      <c r="D41" s="85"/>
    </row>
    <row r="42" ht="21.75" customHeight="1">
      <c r="D42" s="85"/>
    </row>
    <row r="43" ht="21.75" customHeight="1">
      <c r="D43" s="85"/>
    </row>
    <row r="44" ht="21.75" customHeight="1">
      <c r="D44" s="85"/>
    </row>
    <row r="45" ht="21.75" customHeight="1">
      <c r="D45" s="85"/>
    </row>
    <row r="46" ht="21.75" customHeight="1">
      <c r="D46" s="85"/>
    </row>
    <row r="47" ht="21.75" customHeight="1">
      <c r="D47" s="85"/>
    </row>
    <row r="48" ht="21.75" customHeight="1">
      <c r="D48" s="85"/>
    </row>
    <row r="49" ht="21.75" customHeight="1">
      <c r="D49" s="85"/>
    </row>
    <row r="50" ht="21.75" customHeight="1">
      <c r="D50" s="85"/>
    </row>
    <row r="51" ht="21.75" customHeight="1">
      <c r="D51" s="85"/>
    </row>
    <row r="52" ht="21.75" customHeight="1">
      <c r="D52" s="85"/>
    </row>
    <row r="53" ht="21.75" customHeight="1">
      <c r="D53" s="85"/>
    </row>
    <row r="54" ht="21.75" customHeight="1">
      <c r="D54" s="85"/>
    </row>
    <row r="55" ht="21.75" customHeight="1">
      <c r="D55" s="85"/>
    </row>
    <row r="56" ht="21.75" customHeight="1">
      <c r="D56" s="85"/>
    </row>
    <row r="57" ht="21.75" customHeight="1">
      <c r="D57" s="85"/>
    </row>
    <row r="58" ht="21.75" customHeight="1">
      <c r="D58" s="85"/>
    </row>
    <row r="59" ht="21.75" customHeight="1">
      <c r="D59" s="85"/>
    </row>
  </sheetData>
  <sheetProtection/>
  <mergeCells count="16">
    <mergeCell ref="U6:W6"/>
    <mergeCell ref="E7:G7"/>
    <mergeCell ref="I7:K7"/>
    <mergeCell ref="M7:O7"/>
    <mergeCell ref="Q7:S7"/>
    <mergeCell ref="U7:W7"/>
    <mergeCell ref="E6:G6"/>
    <mergeCell ref="I6:K6"/>
    <mergeCell ref="M6:O6"/>
    <mergeCell ref="Q6:S6"/>
    <mergeCell ref="A1:W1"/>
    <mergeCell ref="E5:G5"/>
    <mergeCell ref="I5:K5"/>
    <mergeCell ref="M5:O5"/>
    <mergeCell ref="Q5:S5"/>
    <mergeCell ref="U5:W5"/>
  </mergeCells>
  <printOptions/>
  <pageMargins left="0.56" right="0.2362204724409449" top="0.37" bottom="0.24" header="0.15748031496062992" footer="0.11811023622047245"/>
  <pageSetup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zoomScaleSheetLayoutView="100" zoomScalePageLayoutView="0" workbookViewId="0" topLeftCell="A1">
      <selection activeCell="A137" sqref="A137"/>
    </sheetView>
  </sheetViews>
  <sheetFormatPr defaultColWidth="9.140625" defaultRowHeight="27" customHeight="1"/>
  <cols>
    <col min="1" max="8" width="11.421875" style="8" customWidth="1"/>
    <col min="9" max="9" width="10.421875" style="8" customWidth="1"/>
    <col min="10" max="10" width="1.7109375" style="8" customWidth="1"/>
    <col min="11" max="11" width="9.00390625" style="8" customWidth="1"/>
    <col min="12" max="13" width="11.421875" style="8" customWidth="1"/>
    <col min="14" max="16384" width="9.140625" style="8" customWidth="1"/>
  </cols>
  <sheetData>
    <row r="1" spans="1:9" ht="30" customHeight="1">
      <c r="A1" s="663" t="s">
        <v>479</v>
      </c>
      <c r="B1" s="663"/>
      <c r="C1" s="663"/>
      <c r="D1" s="663"/>
      <c r="E1" s="663"/>
      <c r="F1" s="663"/>
      <c r="G1" s="663"/>
      <c r="H1" s="663"/>
      <c r="I1" s="663"/>
    </row>
    <row r="2" spans="1:9" ht="30" customHeight="1">
      <c r="A2" s="55"/>
      <c r="B2" s="55"/>
      <c r="C2" s="55"/>
      <c r="D2" s="55"/>
      <c r="E2" s="55"/>
      <c r="F2" s="55"/>
      <c r="G2" s="55"/>
      <c r="H2" s="55"/>
      <c r="I2" s="55"/>
    </row>
    <row r="3" ht="30" customHeight="1">
      <c r="A3" s="105" t="s">
        <v>103</v>
      </c>
    </row>
    <row r="4" spans="1:2" ht="30" customHeight="1">
      <c r="A4" s="176"/>
      <c r="B4" s="176" t="s">
        <v>241</v>
      </c>
    </row>
    <row r="5" spans="1:2" ht="30" customHeight="1">
      <c r="A5" s="176" t="s">
        <v>242</v>
      </c>
      <c r="B5" s="176"/>
    </row>
    <row r="6" spans="1:2" ht="30" customHeight="1">
      <c r="A6" s="176" t="s">
        <v>104</v>
      </c>
      <c r="B6" s="176"/>
    </row>
    <row r="7" spans="1:9" ht="30" customHeight="1">
      <c r="A7" s="594"/>
      <c r="B7" s="594" t="s">
        <v>243</v>
      </c>
      <c r="C7" s="175"/>
      <c r="D7" s="175"/>
      <c r="E7" s="175"/>
      <c r="F7" s="175"/>
      <c r="G7" s="175"/>
      <c r="H7" s="175"/>
      <c r="I7" s="175"/>
    </row>
    <row r="8" spans="1:9" ht="30" customHeight="1">
      <c r="A8" s="594" t="s">
        <v>244</v>
      </c>
      <c r="B8" s="594"/>
      <c r="C8" s="175"/>
      <c r="D8" s="175"/>
      <c r="E8" s="175"/>
      <c r="F8" s="175"/>
      <c r="G8" s="175"/>
      <c r="H8" s="175"/>
      <c r="I8" s="175"/>
    </row>
    <row r="9" spans="1:2" ht="30" customHeight="1">
      <c r="A9" s="176" t="s">
        <v>622</v>
      </c>
      <c r="B9" s="176"/>
    </row>
    <row r="10" spans="1:2" ht="30" customHeight="1">
      <c r="A10" s="176" t="s">
        <v>623</v>
      </c>
      <c r="B10" s="176"/>
    </row>
    <row r="11" spans="1:2" ht="30" customHeight="1">
      <c r="A11" s="176" t="s">
        <v>624</v>
      </c>
      <c r="B11" s="176"/>
    </row>
    <row r="12" spans="1:2" ht="30" customHeight="1">
      <c r="A12" s="176" t="s">
        <v>625</v>
      </c>
      <c r="B12" s="176"/>
    </row>
    <row r="13" spans="1:2" ht="30" customHeight="1">
      <c r="A13" s="176" t="s">
        <v>626</v>
      </c>
      <c r="B13" s="176"/>
    </row>
    <row r="14" spans="1:2" ht="30" customHeight="1">
      <c r="A14" s="176" t="s">
        <v>1053</v>
      </c>
      <c r="B14" s="176"/>
    </row>
    <row r="15" ht="30" customHeight="1">
      <c r="B15" s="176" t="s">
        <v>564</v>
      </c>
    </row>
    <row r="16" spans="1:2" ht="30" customHeight="1">
      <c r="A16" s="176" t="s">
        <v>565</v>
      </c>
      <c r="B16" s="176"/>
    </row>
    <row r="17" spans="1:2" ht="30" customHeight="1">
      <c r="A17" s="176" t="s">
        <v>1246</v>
      </c>
      <c r="B17" s="176"/>
    </row>
    <row r="18" spans="1:2" ht="30" customHeight="1">
      <c r="A18" s="176" t="s">
        <v>1247</v>
      </c>
      <c r="B18" s="176"/>
    </row>
    <row r="19" spans="1:2" ht="30" customHeight="1">
      <c r="A19" s="176" t="s">
        <v>1250</v>
      </c>
      <c r="B19" s="176"/>
    </row>
    <row r="20" spans="1:2" ht="30" customHeight="1">
      <c r="A20" s="176" t="s">
        <v>1249</v>
      </c>
      <c r="B20" s="176"/>
    </row>
    <row r="21" spans="1:2" ht="30" customHeight="1">
      <c r="A21" s="176" t="s">
        <v>1248</v>
      </c>
      <c r="B21" s="176"/>
    </row>
    <row r="22" spans="1:11" ht="30" customHeight="1">
      <c r="A22" s="594" t="s">
        <v>1251</v>
      </c>
      <c r="B22" s="594"/>
      <c r="C22" s="175"/>
      <c r="D22" s="175"/>
      <c r="E22" s="175"/>
      <c r="F22" s="175"/>
      <c r="G22" s="175"/>
      <c r="H22" s="175"/>
      <c r="I22" s="175"/>
      <c r="J22" s="175"/>
      <c r="K22" s="175"/>
    </row>
    <row r="23" spans="1:2" s="175" customFormat="1" ht="30" customHeight="1">
      <c r="A23" s="594" t="s">
        <v>1252</v>
      </c>
      <c r="B23" s="594"/>
    </row>
    <row r="24" spans="1:2" s="175" customFormat="1" ht="30" customHeight="1">
      <c r="A24" s="594" t="s">
        <v>1253</v>
      </c>
      <c r="B24" s="594"/>
    </row>
    <row r="25" spans="1:2" s="175" customFormat="1" ht="30" customHeight="1">
      <c r="A25" s="594" t="s">
        <v>1254</v>
      </c>
      <c r="B25" s="594"/>
    </row>
    <row r="26" spans="1:2" s="175" customFormat="1" ht="30" customHeight="1">
      <c r="A26" s="594" t="s">
        <v>1255</v>
      </c>
      <c r="B26" s="594"/>
    </row>
    <row r="27" spans="1:2" s="175" customFormat="1" ht="30" customHeight="1">
      <c r="A27" s="594" t="s">
        <v>1256</v>
      </c>
      <c r="B27" s="594"/>
    </row>
    <row r="28" s="175" customFormat="1" ht="30" customHeight="1">
      <c r="A28" s="594" t="s">
        <v>271</v>
      </c>
    </row>
    <row r="29" spans="1:9" ht="30" customHeight="1">
      <c r="A29" s="175"/>
      <c r="B29" s="175"/>
      <c r="C29" s="175"/>
      <c r="D29" s="175"/>
      <c r="E29" s="175"/>
      <c r="F29" s="175"/>
      <c r="G29" s="175"/>
      <c r="H29" s="175"/>
      <c r="I29" s="175"/>
    </row>
  </sheetData>
  <sheetProtection/>
  <mergeCells count="1">
    <mergeCell ref="A1:I1"/>
  </mergeCells>
  <printOptions/>
  <pageMargins left="0.36" right="0.17" top="0.54" bottom="0.58" header="0.25" footer="0.2362204724409449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8"/>
  <sheetViews>
    <sheetView zoomScaleSheetLayoutView="100" zoomScalePageLayoutView="0" workbookViewId="0" topLeftCell="A1">
      <selection activeCell="A137" sqref="A137"/>
    </sheetView>
  </sheetViews>
  <sheetFormatPr defaultColWidth="9.140625" defaultRowHeight="30.75" customHeight="1"/>
  <cols>
    <col min="1" max="1" width="4.57421875" style="205" customWidth="1"/>
    <col min="2" max="2" width="24.28125" style="205" customWidth="1"/>
    <col min="3" max="3" width="10.00390625" style="205" customWidth="1"/>
    <col min="4" max="4" width="9.8515625" style="205" customWidth="1"/>
    <col min="5" max="5" width="9.7109375" style="205" bestFit="1" customWidth="1"/>
    <col min="6" max="6" width="10.00390625" style="205" customWidth="1"/>
    <col min="7" max="7" width="16.8515625" style="205" customWidth="1"/>
    <col min="8" max="8" width="1.7109375" style="205" customWidth="1"/>
    <col min="9" max="9" width="16.7109375" style="205" customWidth="1"/>
    <col min="10" max="10" width="7.57421875" style="205" customWidth="1"/>
    <col min="11" max="16384" width="9.140625" style="205" customWidth="1"/>
  </cols>
  <sheetData>
    <row r="1" spans="1:10" ht="30.75" customHeight="1">
      <c r="A1" s="664" t="s">
        <v>155</v>
      </c>
      <c r="B1" s="664"/>
      <c r="C1" s="664"/>
      <c r="D1" s="664"/>
      <c r="E1" s="664"/>
      <c r="F1" s="664"/>
      <c r="G1" s="664"/>
      <c r="H1" s="664"/>
      <c r="I1" s="664"/>
      <c r="J1" s="204"/>
    </row>
    <row r="2" spans="1:10" ht="30.75" customHeight="1">
      <c r="A2" s="206"/>
      <c r="B2" s="206"/>
      <c r="C2" s="206"/>
      <c r="D2" s="206"/>
      <c r="E2" s="206"/>
      <c r="F2" s="206"/>
      <c r="G2" s="206"/>
      <c r="H2" s="206"/>
      <c r="I2" s="206"/>
      <c r="J2" s="206"/>
    </row>
    <row r="3" spans="1:10" s="210" customFormat="1" ht="30.75" customHeight="1">
      <c r="A3" s="207" t="s">
        <v>1257</v>
      </c>
      <c r="B3" s="208"/>
      <c r="C3" s="208"/>
      <c r="D3" s="208"/>
      <c r="E3" s="208"/>
      <c r="F3" s="208"/>
      <c r="G3" s="208"/>
      <c r="H3" s="208"/>
      <c r="I3" s="208"/>
      <c r="J3" s="209"/>
    </row>
    <row r="4" spans="1:10" s="210" customFormat="1" ht="30.75" customHeight="1">
      <c r="A4" s="207"/>
      <c r="B4" s="208" t="s">
        <v>248</v>
      </c>
      <c r="C4" s="208"/>
      <c r="D4" s="208"/>
      <c r="E4" s="208"/>
      <c r="F4" s="208"/>
      <c r="G4" s="208"/>
      <c r="H4" s="208"/>
      <c r="I4" s="208"/>
      <c r="J4" s="209"/>
    </row>
    <row r="5" spans="1:10" s="210" customFormat="1" ht="30.75" customHeight="1">
      <c r="A5" s="207"/>
      <c r="B5" s="208" t="s">
        <v>249</v>
      </c>
      <c r="C5" s="208"/>
      <c r="D5" s="208"/>
      <c r="E5" s="208"/>
      <c r="F5" s="208"/>
      <c r="G5" s="208"/>
      <c r="H5" s="208"/>
      <c r="I5" s="208"/>
      <c r="J5" s="209"/>
    </row>
    <row r="6" spans="1:10" s="210" customFormat="1" ht="30.75" customHeight="1">
      <c r="A6" s="207"/>
      <c r="B6" s="208" t="s">
        <v>250</v>
      </c>
      <c r="C6" s="208"/>
      <c r="D6" s="208"/>
      <c r="E6" s="208"/>
      <c r="F6" s="208"/>
      <c r="G6" s="208"/>
      <c r="H6" s="208"/>
      <c r="I6" s="208"/>
      <c r="J6" s="209"/>
    </row>
    <row r="7" spans="1:10" s="210" customFormat="1" ht="30.75" customHeight="1">
      <c r="A7" s="207"/>
      <c r="B7" s="208" t="s">
        <v>251</v>
      </c>
      <c r="C7" s="208"/>
      <c r="D7" s="208"/>
      <c r="E7" s="208"/>
      <c r="F7" s="208"/>
      <c r="G7" s="208"/>
      <c r="H7" s="208"/>
      <c r="I7" s="208"/>
      <c r="J7" s="209"/>
    </row>
    <row r="8" spans="1:10" s="210" customFormat="1" ht="30.75" customHeight="1">
      <c r="A8" s="207"/>
      <c r="B8" s="208" t="s">
        <v>291</v>
      </c>
      <c r="C8" s="208"/>
      <c r="D8" s="208"/>
      <c r="E8" s="208"/>
      <c r="F8" s="208"/>
      <c r="G8" s="208"/>
      <c r="H8" s="208"/>
      <c r="I8" s="208"/>
      <c r="J8" s="209"/>
    </row>
    <row r="9" spans="1:10" s="210" customFormat="1" ht="30.75" customHeight="1">
      <c r="A9" s="207"/>
      <c r="B9" s="208" t="s">
        <v>994</v>
      </c>
      <c r="C9" s="208"/>
      <c r="D9" s="208"/>
      <c r="E9" s="208"/>
      <c r="F9" s="208"/>
      <c r="G9" s="208"/>
      <c r="H9" s="208"/>
      <c r="I9" s="208"/>
      <c r="J9" s="209"/>
    </row>
    <row r="10" spans="1:10" s="210" customFormat="1" ht="30.75" customHeight="1">
      <c r="A10" s="207"/>
      <c r="B10" s="208" t="s">
        <v>995</v>
      </c>
      <c r="C10" s="208"/>
      <c r="D10" s="208"/>
      <c r="E10" s="208"/>
      <c r="F10" s="208"/>
      <c r="G10" s="208"/>
      <c r="H10" s="208"/>
      <c r="I10" s="208"/>
      <c r="J10" s="209"/>
    </row>
    <row r="11" spans="1:10" s="210" customFormat="1" ht="30.75" customHeight="1">
      <c r="A11" s="207"/>
      <c r="B11" s="208" t="s">
        <v>996</v>
      </c>
      <c r="C11" s="208"/>
      <c r="D11" s="208"/>
      <c r="E11" s="208"/>
      <c r="F11" s="208"/>
      <c r="G11" s="208"/>
      <c r="H11" s="208"/>
      <c r="I11" s="208"/>
      <c r="J11" s="209"/>
    </row>
    <row r="12" spans="1:10" s="210" customFormat="1" ht="30.75" customHeight="1">
      <c r="A12" s="207"/>
      <c r="B12" s="208" t="s">
        <v>1214</v>
      </c>
      <c r="C12" s="208"/>
      <c r="D12" s="208"/>
      <c r="E12" s="208"/>
      <c r="F12" s="208"/>
      <c r="G12" s="208"/>
      <c r="H12" s="208"/>
      <c r="I12" s="208"/>
      <c r="J12" s="209"/>
    </row>
    <row r="13" spans="1:10" s="210" customFormat="1" ht="30.75" customHeight="1">
      <c r="A13" s="207"/>
      <c r="B13" s="208" t="s">
        <v>0</v>
      </c>
      <c r="C13" s="208"/>
      <c r="D13" s="208"/>
      <c r="E13" s="208"/>
      <c r="F13" s="208"/>
      <c r="G13" s="208"/>
      <c r="H13" s="208"/>
      <c r="I13" s="208"/>
      <c r="J13" s="209"/>
    </row>
    <row r="14" spans="1:10" s="210" customFormat="1" ht="30.75" customHeight="1">
      <c r="A14" s="207"/>
      <c r="B14" s="208" t="s">
        <v>149</v>
      </c>
      <c r="C14" s="208"/>
      <c r="D14" s="208"/>
      <c r="E14" s="208"/>
      <c r="F14" s="208"/>
      <c r="G14" s="208"/>
      <c r="H14" s="208"/>
      <c r="I14" s="208"/>
      <c r="J14" s="209"/>
    </row>
    <row r="15" spans="1:10" s="210" customFormat="1" ht="30.75" customHeight="1">
      <c r="A15" s="207"/>
      <c r="B15" s="208"/>
      <c r="C15" s="208"/>
      <c r="D15" s="208"/>
      <c r="E15" s="208"/>
      <c r="F15" s="208"/>
      <c r="G15" s="208"/>
      <c r="H15" s="208"/>
      <c r="I15" s="208"/>
      <c r="J15" s="209"/>
    </row>
    <row r="16" spans="1:10" s="210" customFormat="1" ht="30.75" customHeight="1">
      <c r="A16" s="207"/>
      <c r="B16" s="208" t="s">
        <v>150</v>
      </c>
      <c r="C16" s="208"/>
      <c r="D16" s="208"/>
      <c r="E16" s="208"/>
      <c r="F16" s="208"/>
      <c r="G16" s="208"/>
      <c r="H16" s="208"/>
      <c r="I16" s="208"/>
      <c r="J16" s="209"/>
    </row>
    <row r="17" spans="1:10" s="210" customFormat="1" ht="30.75" customHeight="1">
      <c r="A17" s="207"/>
      <c r="B17" s="208"/>
      <c r="C17" s="208"/>
      <c r="D17" s="208"/>
      <c r="E17" s="208"/>
      <c r="F17" s="208"/>
      <c r="G17" s="208"/>
      <c r="H17" s="208"/>
      <c r="I17" s="211" t="s">
        <v>151</v>
      </c>
      <c r="J17" s="208"/>
    </row>
    <row r="18" spans="1:9" s="210" customFormat="1" ht="30.75" customHeight="1">
      <c r="A18" s="207"/>
      <c r="C18" s="212" t="s">
        <v>152</v>
      </c>
      <c r="D18" s="212"/>
      <c r="E18" s="212"/>
      <c r="F18" s="208"/>
      <c r="G18" s="213" t="s">
        <v>236</v>
      </c>
      <c r="H18" s="208"/>
      <c r="I18" s="213" t="s">
        <v>141</v>
      </c>
    </row>
    <row r="19" spans="1:10" s="210" customFormat="1" ht="30.75" customHeight="1">
      <c r="A19" s="207"/>
      <c r="B19" s="208"/>
      <c r="C19" s="43" t="s">
        <v>355</v>
      </c>
      <c r="D19" s="208"/>
      <c r="E19" s="208"/>
      <c r="F19" s="208"/>
      <c r="G19" s="214">
        <v>502330596</v>
      </c>
      <c r="H19" s="215"/>
      <c r="I19" s="214">
        <v>414846054</v>
      </c>
      <c r="J19" s="216"/>
    </row>
    <row r="20" spans="1:10" s="210" customFormat="1" ht="30.75" customHeight="1">
      <c r="A20" s="207"/>
      <c r="C20" s="43" t="s">
        <v>358</v>
      </c>
      <c r="D20" s="208"/>
      <c r="E20" s="208"/>
      <c r="F20" s="208"/>
      <c r="G20" s="217">
        <v>2678610924</v>
      </c>
      <c r="H20" s="215"/>
      <c r="I20" s="217">
        <v>1775267064</v>
      </c>
      <c r="J20" s="216"/>
    </row>
    <row r="21" spans="1:10" s="210" customFormat="1" ht="30.75" customHeight="1">
      <c r="A21" s="207"/>
      <c r="B21" s="208"/>
      <c r="C21" s="43" t="s">
        <v>360</v>
      </c>
      <c r="D21" s="208"/>
      <c r="E21" s="208"/>
      <c r="F21" s="208"/>
      <c r="G21" s="217">
        <v>963096875</v>
      </c>
      <c r="H21" s="215"/>
      <c r="I21" s="217">
        <v>816400000</v>
      </c>
      <c r="J21" s="216"/>
    </row>
    <row r="22" spans="1:10" s="210" customFormat="1" ht="30.75" customHeight="1">
      <c r="A22" s="207"/>
      <c r="B22" s="208"/>
      <c r="C22" s="43" t="s">
        <v>362</v>
      </c>
      <c r="D22" s="208"/>
      <c r="E22" s="208"/>
      <c r="F22" s="208"/>
      <c r="G22" s="217">
        <v>1248230935</v>
      </c>
      <c r="H22" s="215"/>
      <c r="I22" s="217">
        <v>1070850749.5</v>
      </c>
      <c r="J22" s="216"/>
    </row>
    <row r="23" spans="1:10" s="210" customFormat="1" ht="30.75" customHeight="1">
      <c r="A23" s="207"/>
      <c r="B23" s="208"/>
      <c r="C23" s="43" t="s">
        <v>364</v>
      </c>
      <c r="D23" s="208"/>
      <c r="E23" s="208"/>
      <c r="F23" s="208"/>
      <c r="G23" s="217">
        <v>2505033960</v>
      </c>
      <c r="H23" s="215"/>
      <c r="I23" s="217">
        <v>2761960520</v>
      </c>
      <c r="J23" s="216"/>
    </row>
    <row r="24" spans="1:10" s="210" customFormat="1" ht="30.75" customHeight="1" thickBot="1">
      <c r="A24" s="207"/>
      <c r="B24" s="208"/>
      <c r="C24" s="208"/>
      <c r="D24" s="218" t="s">
        <v>402</v>
      </c>
      <c r="E24" s="208"/>
      <c r="F24" s="208"/>
      <c r="G24" s="219">
        <f>SUM(G19:G23)</f>
        <v>7897303290</v>
      </c>
      <c r="H24" s="215"/>
      <c r="I24" s="219">
        <f>SUM(I19:I23)</f>
        <v>6839324387.5</v>
      </c>
      <c r="J24" s="216"/>
    </row>
    <row r="25" spans="1:10" s="210" customFormat="1" ht="30.75" customHeight="1" thickTop="1">
      <c r="A25" s="207"/>
      <c r="B25" s="208"/>
      <c r="C25" s="208"/>
      <c r="D25" s="208"/>
      <c r="E25" s="208"/>
      <c r="F25" s="208"/>
      <c r="G25" s="208"/>
      <c r="H25" s="208"/>
      <c r="I25" s="208"/>
      <c r="J25" s="209"/>
    </row>
    <row r="26" spans="1:10" s="210" customFormat="1" ht="30.75" customHeight="1">
      <c r="A26" s="207"/>
      <c r="B26" s="208"/>
      <c r="C26" s="208"/>
      <c r="D26" s="208"/>
      <c r="E26" s="208"/>
      <c r="F26" s="208"/>
      <c r="G26" s="208"/>
      <c r="H26" s="208"/>
      <c r="I26" s="208"/>
      <c r="J26" s="209"/>
    </row>
    <row r="27" spans="1:10" s="210" customFormat="1" ht="30.75" customHeight="1">
      <c r="A27" s="207"/>
      <c r="B27" s="208"/>
      <c r="C27" s="208"/>
      <c r="D27" s="208"/>
      <c r="E27" s="208"/>
      <c r="F27" s="208"/>
      <c r="G27" s="208"/>
      <c r="H27" s="208"/>
      <c r="I27" s="208"/>
      <c r="J27" s="209"/>
    </row>
    <row r="28" spans="1:10" s="210" customFormat="1" ht="30.75" customHeight="1">
      <c r="A28" s="207"/>
      <c r="B28" s="208"/>
      <c r="C28" s="208"/>
      <c r="D28" s="208"/>
      <c r="E28" s="208"/>
      <c r="F28" s="208"/>
      <c r="G28" s="208"/>
      <c r="H28" s="208"/>
      <c r="I28" s="208"/>
      <c r="J28" s="209"/>
    </row>
    <row r="29" spans="1:10" s="210" customFormat="1" ht="30.75" customHeight="1">
      <c r="A29" s="207"/>
      <c r="B29" s="208"/>
      <c r="C29" s="208"/>
      <c r="D29" s="208"/>
      <c r="E29" s="208"/>
      <c r="F29" s="208"/>
      <c r="G29" s="208"/>
      <c r="H29" s="208"/>
      <c r="I29" s="208"/>
      <c r="J29" s="209"/>
    </row>
    <row r="30" spans="2:10" s="210" customFormat="1" ht="30.75" customHeight="1">
      <c r="B30" s="208"/>
      <c r="C30" s="208"/>
      <c r="D30" s="208"/>
      <c r="E30" s="208"/>
      <c r="F30" s="208"/>
      <c r="G30" s="208"/>
      <c r="H30" s="208"/>
      <c r="I30" s="208"/>
      <c r="J30" s="209"/>
    </row>
    <row r="31" spans="1:10" s="210" customFormat="1" ht="30.75" customHeight="1">
      <c r="A31" s="207"/>
      <c r="B31" s="208"/>
      <c r="C31" s="208"/>
      <c r="D31" s="208"/>
      <c r="E31" s="208"/>
      <c r="F31" s="208"/>
      <c r="G31" s="208"/>
      <c r="H31" s="208"/>
      <c r="I31" s="208"/>
      <c r="J31" s="209"/>
    </row>
    <row r="32" spans="1:10" s="210" customFormat="1" ht="30.75" customHeight="1">
      <c r="A32" s="207"/>
      <c r="B32" s="208"/>
      <c r="C32" s="208"/>
      <c r="D32" s="208"/>
      <c r="E32" s="208"/>
      <c r="F32" s="208"/>
      <c r="G32" s="208"/>
      <c r="H32" s="208"/>
      <c r="I32" s="208"/>
      <c r="J32" s="209"/>
    </row>
    <row r="33" spans="1:10" s="210" customFormat="1" ht="30.75" customHeight="1">
      <c r="A33" s="207"/>
      <c r="B33" s="208"/>
      <c r="C33" s="208"/>
      <c r="D33" s="208"/>
      <c r="E33" s="208"/>
      <c r="F33" s="208"/>
      <c r="G33" s="208"/>
      <c r="H33" s="208"/>
      <c r="I33" s="208"/>
      <c r="J33" s="209"/>
    </row>
    <row r="34" spans="1:10" s="210" customFormat="1" ht="30.75" customHeight="1">
      <c r="A34" s="37"/>
      <c r="B34" s="208"/>
      <c r="C34" s="208"/>
      <c r="D34" s="208"/>
      <c r="E34" s="208"/>
      <c r="F34" s="208"/>
      <c r="G34" s="208"/>
      <c r="H34" s="208"/>
      <c r="I34" s="208"/>
      <c r="J34" s="209"/>
    </row>
    <row r="35" spans="1:10" s="210" customFormat="1" ht="30.75" customHeight="1">
      <c r="A35" s="207"/>
      <c r="B35" s="208"/>
      <c r="C35" s="208"/>
      <c r="D35" s="208"/>
      <c r="E35" s="208"/>
      <c r="F35" s="208"/>
      <c r="G35" s="208"/>
      <c r="H35" s="208"/>
      <c r="I35" s="208"/>
      <c r="J35" s="209"/>
    </row>
    <row r="36" spans="1:10" s="210" customFormat="1" ht="30.75" customHeight="1">
      <c r="A36" s="207"/>
      <c r="B36" s="208"/>
      <c r="C36" s="208"/>
      <c r="D36" s="208"/>
      <c r="E36" s="208"/>
      <c r="F36" s="208"/>
      <c r="G36" s="208"/>
      <c r="H36" s="208"/>
      <c r="I36" s="208"/>
      <c r="J36" s="209"/>
    </row>
    <row r="37" spans="1:10" s="210" customFormat="1" ht="30.75" customHeight="1">
      <c r="A37" s="207"/>
      <c r="B37" s="208"/>
      <c r="C37" s="208"/>
      <c r="D37" s="208"/>
      <c r="E37" s="208"/>
      <c r="F37" s="208"/>
      <c r="G37" s="208"/>
      <c r="H37" s="208"/>
      <c r="I37" s="208"/>
      <c r="J37" s="209"/>
    </row>
    <row r="38" spans="1:10" s="210" customFormat="1" ht="30.75" customHeight="1">
      <c r="A38" s="207"/>
      <c r="B38" s="208"/>
      <c r="C38" s="208"/>
      <c r="D38" s="208"/>
      <c r="E38" s="208"/>
      <c r="F38" s="208"/>
      <c r="G38" s="208"/>
      <c r="H38" s="208"/>
      <c r="I38" s="208"/>
      <c r="J38" s="209"/>
    </row>
    <row r="39" spans="1:10" s="210" customFormat="1" ht="30.75" customHeight="1">
      <c r="A39" s="207"/>
      <c r="B39" s="208"/>
      <c r="C39" s="208"/>
      <c r="D39" s="208"/>
      <c r="E39" s="208"/>
      <c r="F39" s="208"/>
      <c r="G39" s="208"/>
      <c r="H39" s="208"/>
      <c r="I39" s="208"/>
      <c r="J39" s="209"/>
    </row>
    <row r="40" spans="1:10" s="210" customFormat="1" ht="30.75" customHeight="1">
      <c r="A40" s="207"/>
      <c r="B40" s="208"/>
      <c r="C40" s="208"/>
      <c r="D40" s="208"/>
      <c r="E40" s="208"/>
      <c r="F40" s="208"/>
      <c r="G40" s="208"/>
      <c r="H40" s="208"/>
      <c r="I40" s="208"/>
      <c r="J40" s="209"/>
    </row>
    <row r="41" spans="1:10" s="210" customFormat="1" ht="30.75" customHeight="1">
      <c r="A41" s="207"/>
      <c r="B41" s="208"/>
      <c r="C41" s="208"/>
      <c r="D41" s="208"/>
      <c r="E41" s="208"/>
      <c r="F41" s="208"/>
      <c r="G41" s="208"/>
      <c r="H41" s="208"/>
      <c r="I41" s="208"/>
      <c r="J41" s="209"/>
    </row>
    <row r="42" spans="1:10" s="210" customFormat="1" ht="30.75" customHeight="1">
      <c r="A42" s="207"/>
      <c r="B42" s="208"/>
      <c r="C42" s="208"/>
      <c r="D42" s="208"/>
      <c r="E42" s="208"/>
      <c r="F42" s="208"/>
      <c r="G42" s="208"/>
      <c r="H42" s="208"/>
      <c r="I42" s="208"/>
      <c r="J42" s="209"/>
    </row>
    <row r="43" spans="1:10" s="210" customFormat="1" ht="30.75" customHeight="1">
      <c r="A43" s="207"/>
      <c r="B43" s="208"/>
      <c r="C43" s="208"/>
      <c r="D43" s="208"/>
      <c r="E43" s="208"/>
      <c r="F43" s="208"/>
      <c r="G43" s="208"/>
      <c r="H43" s="208"/>
      <c r="I43" s="208"/>
      <c r="J43" s="209"/>
    </row>
    <row r="44" spans="1:10" s="210" customFormat="1" ht="30.75" customHeight="1">
      <c r="A44" s="207"/>
      <c r="B44" s="208"/>
      <c r="C44" s="208"/>
      <c r="D44" s="208"/>
      <c r="E44" s="208"/>
      <c r="F44" s="208"/>
      <c r="G44" s="208"/>
      <c r="H44" s="208"/>
      <c r="I44" s="208"/>
      <c r="J44" s="209"/>
    </row>
    <row r="45" spans="1:10" s="210" customFormat="1" ht="30.75" customHeight="1">
      <c r="A45" s="207"/>
      <c r="B45" s="208"/>
      <c r="C45" s="208"/>
      <c r="D45" s="208"/>
      <c r="E45" s="208"/>
      <c r="F45" s="208"/>
      <c r="G45" s="208"/>
      <c r="H45" s="208"/>
      <c r="I45" s="208"/>
      <c r="J45" s="209"/>
    </row>
    <row r="46" spans="1:10" s="210" customFormat="1" ht="30.75" customHeight="1">
      <c r="A46" s="207"/>
      <c r="B46" s="208"/>
      <c r="C46" s="208"/>
      <c r="D46" s="208"/>
      <c r="E46" s="208"/>
      <c r="F46" s="208"/>
      <c r="G46" s="208"/>
      <c r="H46" s="208"/>
      <c r="I46" s="208"/>
      <c r="J46" s="209"/>
    </row>
    <row r="47" spans="1:10" s="210" customFormat="1" ht="30.75" customHeight="1">
      <c r="A47" s="207"/>
      <c r="B47" s="208"/>
      <c r="C47" s="208"/>
      <c r="D47" s="208"/>
      <c r="E47" s="208"/>
      <c r="F47" s="208"/>
      <c r="G47" s="208"/>
      <c r="H47" s="208"/>
      <c r="I47" s="208"/>
      <c r="J47" s="209"/>
    </row>
    <row r="48" spans="1:10" s="210" customFormat="1" ht="30.75" customHeight="1">
      <c r="A48" s="207"/>
      <c r="B48" s="208"/>
      <c r="C48" s="208"/>
      <c r="D48" s="208"/>
      <c r="E48" s="208"/>
      <c r="F48" s="208"/>
      <c r="G48" s="208"/>
      <c r="H48" s="208"/>
      <c r="I48" s="208"/>
      <c r="J48" s="209"/>
    </row>
    <row r="49" spans="1:10" s="210" customFormat="1" ht="30.75" customHeight="1">
      <c r="A49" s="207"/>
      <c r="B49" s="208"/>
      <c r="C49" s="208"/>
      <c r="D49" s="208"/>
      <c r="E49" s="208"/>
      <c r="F49" s="208"/>
      <c r="G49" s="208"/>
      <c r="H49" s="208"/>
      <c r="I49" s="208"/>
      <c r="J49" s="209"/>
    </row>
    <row r="50" spans="1:10" s="210" customFormat="1" ht="30.75" customHeight="1">
      <c r="A50" s="207"/>
      <c r="B50" s="208"/>
      <c r="C50" s="208"/>
      <c r="D50" s="208"/>
      <c r="E50" s="208"/>
      <c r="F50" s="208"/>
      <c r="G50" s="208"/>
      <c r="H50" s="208"/>
      <c r="I50" s="208"/>
      <c r="J50" s="209"/>
    </row>
    <row r="51" spans="1:10" s="210" customFormat="1" ht="30.75" customHeight="1">
      <c r="A51" s="207"/>
      <c r="B51" s="208"/>
      <c r="C51" s="208"/>
      <c r="D51" s="208"/>
      <c r="E51" s="208"/>
      <c r="F51" s="208"/>
      <c r="G51" s="208"/>
      <c r="H51" s="208"/>
      <c r="I51" s="208"/>
      <c r="J51" s="209"/>
    </row>
    <row r="52" spans="1:10" s="210" customFormat="1" ht="30.75" customHeight="1">
      <c r="A52" s="207"/>
      <c r="B52" s="208"/>
      <c r="C52" s="208"/>
      <c r="D52" s="208"/>
      <c r="E52" s="208"/>
      <c r="F52" s="208"/>
      <c r="G52" s="208"/>
      <c r="H52" s="208"/>
      <c r="I52" s="208"/>
      <c r="J52" s="209"/>
    </row>
    <row r="53" spans="1:10" s="210" customFormat="1" ht="30.75" customHeight="1">
      <c r="A53" s="207"/>
      <c r="B53" s="208"/>
      <c r="C53" s="208"/>
      <c r="D53" s="208"/>
      <c r="E53" s="208"/>
      <c r="F53" s="208"/>
      <c r="G53" s="208"/>
      <c r="H53" s="208"/>
      <c r="I53" s="208"/>
      <c r="J53" s="209"/>
    </row>
    <row r="54" spans="1:10" s="210" customFormat="1" ht="30.75" customHeight="1">
      <c r="A54" s="207"/>
      <c r="B54" s="208"/>
      <c r="C54" s="208"/>
      <c r="D54" s="208"/>
      <c r="E54" s="208"/>
      <c r="F54" s="208"/>
      <c r="G54" s="208"/>
      <c r="H54" s="208"/>
      <c r="I54" s="208"/>
      <c r="J54" s="209"/>
    </row>
    <row r="55" spans="1:10" s="210" customFormat="1" ht="30.75" customHeight="1">
      <c r="A55" s="207"/>
      <c r="B55" s="208"/>
      <c r="C55" s="208"/>
      <c r="D55" s="208"/>
      <c r="E55" s="208"/>
      <c r="F55" s="208"/>
      <c r="G55" s="208"/>
      <c r="H55" s="208"/>
      <c r="I55" s="208"/>
      <c r="J55" s="209"/>
    </row>
    <row r="56" spans="1:10" s="210" customFormat="1" ht="30.75" customHeight="1">
      <c r="A56" s="207"/>
      <c r="B56" s="208"/>
      <c r="C56" s="208"/>
      <c r="D56" s="208"/>
      <c r="E56" s="208"/>
      <c r="F56" s="208"/>
      <c r="G56" s="208"/>
      <c r="H56" s="208"/>
      <c r="I56" s="208"/>
      <c r="J56" s="209"/>
    </row>
    <row r="57" spans="1:10" s="210" customFormat="1" ht="30.75" customHeight="1">
      <c r="A57" s="207"/>
      <c r="B57" s="208"/>
      <c r="C57" s="208"/>
      <c r="D57" s="208"/>
      <c r="E57" s="208"/>
      <c r="F57" s="208"/>
      <c r="G57" s="208"/>
      <c r="H57" s="208"/>
      <c r="I57" s="208"/>
      <c r="J57" s="209"/>
    </row>
    <row r="58" spans="1:10" s="210" customFormat="1" ht="30.75" customHeight="1">
      <c r="A58" s="207"/>
      <c r="B58" s="208"/>
      <c r="C58" s="208"/>
      <c r="D58" s="208"/>
      <c r="E58" s="208"/>
      <c r="F58" s="208"/>
      <c r="G58" s="208"/>
      <c r="H58" s="208"/>
      <c r="I58" s="208"/>
      <c r="J58" s="209"/>
    </row>
    <row r="59" spans="1:10" s="210" customFormat="1" ht="30.75" customHeight="1">
      <c r="A59" s="207"/>
      <c r="B59" s="208"/>
      <c r="C59" s="208"/>
      <c r="D59" s="208"/>
      <c r="E59" s="208"/>
      <c r="F59" s="208"/>
      <c r="G59" s="208"/>
      <c r="H59" s="208"/>
      <c r="I59" s="208"/>
      <c r="J59" s="209"/>
    </row>
    <row r="60" spans="1:10" s="210" customFormat="1" ht="30.75" customHeight="1">
      <c r="A60" s="207"/>
      <c r="B60" s="208"/>
      <c r="C60" s="208"/>
      <c r="D60" s="208"/>
      <c r="E60" s="208"/>
      <c r="F60" s="208"/>
      <c r="G60" s="208"/>
      <c r="H60" s="208"/>
      <c r="I60" s="208"/>
      <c r="J60" s="209"/>
    </row>
    <row r="61" spans="1:10" s="210" customFormat="1" ht="30.75" customHeight="1">
      <c r="A61" s="207"/>
      <c r="B61" s="208"/>
      <c r="C61" s="208"/>
      <c r="D61" s="208"/>
      <c r="E61" s="208"/>
      <c r="F61" s="208"/>
      <c r="G61" s="208"/>
      <c r="H61" s="208"/>
      <c r="I61" s="208"/>
      <c r="J61" s="209"/>
    </row>
    <row r="62" spans="1:10" s="210" customFormat="1" ht="30.75" customHeight="1">
      <c r="A62" s="207"/>
      <c r="B62" s="208"/>
      <c r="C62" s="208"/>
      <c r="D62" s="208"/>
      <c r="E62" s="208"/>
      <c r="F62" s="208"/>
      <c r="G62" s="208"/>
      <c r="H62" s="208"/>
      <c r="I62" s="208"/>
      <c r="J62" s="209"/>
    </row>
    <row r="63" spans="1:10" s="210" customFormat="1" ht="30.75" customHeight="1">
      <c r="A63" s="207"/>
      <c r="B63" s="208"/>
      <c r="C63" s="208"/>
      <c r="D63" s="208"/>
      <c r="E63" s="208"/>
      <c r="F63" s="208"/>
      <c r="G63" s="208"/>
      <c r="H63" s="208"/>
      <c r="I63" s="208"/>
      <c r="J63" s="209"/>
    </row>
    <row r="64" spans="1:10" s="210" customFormat="1" ht="30.75" customHeight="1">
      <c r="A64" s="207"/>
      <c r="B64" s="208"/>
      <c r="C64" s="208"/>
      <c r="D64" s="208"/>
      <c r="E64" s="208"/>
      <c r="F64" s="208"/>
      <c r="G64" s="208"/>
      <c r="H64" s="208"/>
      <c r="I64" s="208"/>
      <c r="J64" s="209"/>
    </row>
    <row r="65" spans="1:10" s="210" customFormat="1" ht="30.75" customHeight="1">
      <c r="A65" s="207"/>
      <c r="B65" s="208"/>
      <c r="C65" s="208"/>
      <c r="D65" s="208"/>
      <c r="E65" s="208"/>
      <c r="F65" s="208"/>
      <c r="G65" s="208"/>
      <c r="H65" s="208"/>
      <c r="I65" s="208"/>
      <c r="J65" s="209"/>
    </row>
    <row r="66" spans="1:10" s="210" customFormat="1" ht="30.75" customHeight="1">
      <c r="A66" s="207"/>
      <c r="B66" s="208"/>
      <c r="C66" s="208"/>
      <c r="D66" s="208"/>
      <c r="E66" s="208"/>
      <c r="F66" s="208"/>
      <c r="G66" s="208"/>
      <c r="H66" s="208"/>
      <c r="I66" s="208"/>
      <c r="J66" s="209"/>
    </row>
    <row r="67" spans="1:10" s="210" customFormat="1" ht="30.75" customHeight="1">
      <c r="A67" s="207"/>
      <c r="B67" s="208"/>
      <c r="C67" s="208"/>
      <c r="D67" s="208"/>
      <c r="E67" s="208"/>
      <c r="F67" s="208"/>
      <c r="G67" s="208"/>
      <c r="H67" s="208"/>
      <c r="I67" s="208"/>
      <c r="J67" s="209"/>
    </row>
    <row r="68" spans="1:10" s="210" customFormat="1" ht="30.75" customHeight="1">
      <c r="A68" s="207"/>
      <c r="B68" s="208"/>
      <c r="C68" s="208"/>
      <c r="D68" s="208"/>
      <c r="E68" s="208"/>
      <c r="F68" s="208"/>
      <c r="G68" s="208"/>
      <c r="H68" s="208"/>
      <c r="I68" s="208"/>
      <c r="J68" s="209"/>
    </row>
    <row r="69" spans="1:10" s="210" customFormat="1" ht="30.75" customHeight="1">
      <c r="A69" s="207"/>
      <c r="B69" s="208"/>
      <c r="C69" s="208"/>
      <c r="D69" s="208"/>
      <c r="E69" s="208"/>
      <c r="F69" s="208"/>
      <c r="G69" s="208"/>
      <c r="H69" s="208"/>
      <c r="I69" s="208"/>
      <c r="J69" s="209"/>
    </row>
    <row r="70" spans="1:10" s="210" customFormat="1" ht="30.75" customHeight="1">
      <c r="A70" s="207"/>
      <c r="B70" s="208"/>
      <c r="C70" s="208"/>
      <c r="D70" s="208"/>
      <c r="E70" s="208"/>
      <c r="F70" s="208"/>
      <c r="G70" s="208"/>
      <c r="H70" s="208"/>
      <c r="I70" s="208"/>
      <c r="J70" s="209"/>
    </row>
    <row r="71" spans="1:10" s="210" customFormat="1" ht="30.75" customHeight="1">
      <c r="A71" s="207"/>
      <c r="B71" s="208"/>
      <c r="C71" s="208"/>
      <c r="D71" s="208"/>
      <c r="E71" s="208"/>
      <c r="F71" s="208"/>
      <c r="G71" s="208"/>
      <c r="H71" s="208"/>
      <c r="I71" s="208"/>
      <c r="J71" s="209"/>
    </row>
    <row r="72" spans="1:10" s="210" customFormat="1" ht="30.75" customHeight="1">
      <c r="A72" s="207"/>
      <c r="B72" s="208"/>
      <c r="C72" s="208"/>
      <c r="D72" s="208"/>
      <c r="E72" s="208"/>
      <c r="F72" s="208"/>
      <c r="G72" s="208"/>
      <c r="H72" s="208"/>
      <c r="I72" s="208"/>
      <c r="J72" s="209"/>
    </row>
    <row r="73" spans="1:10" s="210" customFormat="1" ht="30.75" customHeight="1">
      <c r="A73" s="207"/>
      <c r="B73" s="208"/>
      <c r="C73" s="208"/>
      <c r="D73" s="208"/>
      <c r="E73" s="208"/>
      <c r="F73" s="208"/>
      <c r="G73" s="208"/>
      <c r="H73" s="208"/>
      <c r="I73" s="208"/>
      <c r="J73" s="209"/>
    </row>
    <row r="74" spans="1:10" s="210" customFormat="1" ht="30.75" customHeight="1">
      <c r="A74" s="207"/>
      <c r="B74" s="208"/>
      <c r="C74" s="208"/>
      <c r="D74" s="208"/>
      <c r="E74" s="208"/>
      <c r="F74" s="208"/>
      <c r="G74" s="208"/>
      <c r="H74" s="208"/>
      <c r="I74" s="208"/>
      <c r="J74" s="209"/>
    </row>
    <row r="75" spans="1:10" s="210" customFormat="1" ht="30.75" customHeight="1">
      <c r="A75" s="207"/>
      <c r="B75" s="208"/>
      <c r="C75" s="208"/>
      <c r="D75" s="208"/>
      <c r="E75" s="208"/>
      <c r="F75" s="208"/>
      <c r="G75" s="208"/>
      <c r="H75" s="208"/>
      <c r="I75" s="208"/>
      <c r="J75" s="209"/>
    </row>
    <row r="76" spans="1:10" s="210" customFormat="1" ht="30.75" customHeight="1">
      <c r="A76" s="207"/>
      <c r="B76" s="208"/>
      <c r="C76" s="208"/>
      <c r="D76" s="208"/>
      <c r="E76" s="208"/>
      <c r="F76" s="208"/>
      <c r="G76" s="208"/>
      <c r="H76" s="208"/>
      <c r="I76" s="208"/>
      <c r="J76" s="209"/>
    </row>
    <row r="77" spans="1:10" s="210" customFormat="1" ht="30.75" customHeight="1">
      <c r="A77" s="207"/>
      <c r="B77" s="208"/>
      <c r="C77" s="208"/>
      <c r="D77" s="208"/>
      <c r="E77" s="208"/>
      <c r="F77" s="208"/>
      <c r="G77" s="208"/>
      <c r="H77" s="208"/>
      <c r="I77" s="208"/>
      <c r="J77" s="209"/>
    </row>
    <row r="78" spans="1:10" s="210" customFormat="1" ht="30.75" customHeight="1">
      <c r="A78" s="207"/>
      <c r="B78" s="208"/>
      <c r="C78" s="208"/>
      <c r="D78" s="208"/>
      <c r="E78" s="208"/>
      <c r="F78" s="208"/>
      <c r="G78" s="208"/>
      <c r="H78" s="208"/>
      <c r="I78" s="208"/>
      <c r="J78" s="209"/>
    </row>
    <row r="79" spans="1:10" s="210" customFormat="1" ht="30.75" customHeight="1">
      <c r="A79" s="207"/>
      <c r="B79" s="208"/>
      <c r="C79" s="208"/>
      <c r="D79" s="208"/>
      <c r="E79" s="208"/>
      <c r="F79" s="208"/>
      <c r="G79" s="208"/>
      <c r="H79" s="208"/>
      <c r="I79" s="208"/>
      <c r="J79" s="209"/>
    </row>
    <row r="80" spans="1:10" s="210" customFormat="1" ht="30.75" customHeight="1">
      <c r="A80" s="207"/>
      <c r="B80" s="208"/>
      <c r="C80" s="208"/>
      <c r="D80" s="208"/>
      <c r="E80" s="208"/>
      <c r="F80" s="208"/>
      <c r="G80" s="208"/>
      <c r="H80" s="208"/>
      <c r="I80" s="208"/>
      <c r="J80" s="209"/>
    </row>
    <row r="81" spans="1:10" s="210" customFormat="1" ht="30.75" customHeight="1">
      <c r="A81" s="207"/>
      <c r="B81" s="208"/>
      <c r="C81" s="208"/>
      <c r="D81" s="208"/>
      <c r="E81" s="208"/>
      <c r="F81" s="208"/>
      <c r="G81" s="208"/>
      <c r="H81" s="208"/>
      <c r="I81" s="208"/>
      <c r="J81" s="209"/>
    </row>
    <row r="82" spans="1:10" s="210" customFormat="1" ht="30.75" customHeight="1">
      <c r="A82" s="207"/>
      <c r="B82" s="208"/>
      <c r="C82" s="208"/>
      <c r="D82" s="208"/>
      <c r="E82" s="208"/>
      <c r="F82" s="208"/>
      <c r="G82" s="208"/>
      <c r="H82" s="208"/>
      <c r="I82" s="208"/>
      <c r="J82" s="209"/>
    </row>
    <row r="83" spans="1:10" s="210" customFormat="1" ht="30.75" customHeight="1">
      <c r="A83" s="207"/>
      <c r="B83" s="208"/>
      <c r="C83" s="208"/>
      <c r="D83" s="208"/>
      <c r="E83" s="208"/>
      <c r="F83" s="208"/>
      <c r="G83" s="208"/>
      <c r="H83" s="208"/>
      <c r="I83" s="208"/>
      <c r="J83" s="209"/>
    </row>
    <row r="84" spans="1:10" s="210" customFormat="1" ht="30.75" customHeight="1">
      <c r="A84" s="207"/>
      <c r="B84" s="208"/>
      <c r="C84" s="208"/>
      <c r="D84" s="208"/>
      <c r="E84" s="208"/>
      <c r="F84" s="208"/>
      <c r="G84" s="208"/>
      <c r="H84" s="208"/>
      <c r="I84" s="208"/>
      <c r="J84" s="209"/>
    </row>
    <row r="85" spans="1:10" s="210" customFormat="1" ht="30.75" customHeight="1">
      <c r="A85" s="207"/>
      <c r="B85" s="208"/>
      <c r="C85" s="208"/>
      <c r="D85" s="208"/>
      <c r="E85" s="208"/>
      <c r="F85" s="208"/>
      <c r="G85" s="208"/>
      <c r="H85" s="208"/>
      <c r="I85" s="208"/>
      <c r="J85" s="209"/>
    </row>
    <row r="86" spans="1:10" s="210" customFormat="1" ht="30.75" customHeight="1">
      <c r="A86" s="207"/>
      <c r="B86" s="208"/>
      <c r="C86" s="208"/>
      <c r="D86" s="208"/>
      <c r="E86" s="208"/>
      <c r="F86" s="208"/>
      <c r="G86" s="208"/>
      <c r="H86" s="208"/>
      <c r="I86" s="208"/>
      <c r="J86" s="209"/>
    </row>
    <row r="87" spans="1:10" s="210" customFormat="1" ht="30.75" customHeight="1">
      <c r="A87" s="207"/>
      <c r="B87" s="208"/>
      <c r="C87" s="208"/>
      <c r="D87" s="208"/>
      <c r="E87" s="208"/>
      <c r="F87" s="208"/>
      <c r="G87" s="208"/>
      <c r="H87" s="208"/>
      <c r="I87" s="208"/>
      <c r="J87" s="209"/>
    </row>
    <row r="88" spans="1:10" s="210" customFormat="1" ht="30.75" customHeight="1">
      <c r="A88" s="207"/>
      <c r="B88" s="208"/>
      <c r="C88" s="208"/>
      <c r="D88" s="208"/>
      <c r="E88" s="208"/>
      <c r="F88" s="208"/>
      <c r="G88" s="208"/>
      <c r="H88" s="208"/>
      <c r="I88" s="208"/>
      <c r="J88" s="209"/>
    </row>
  </sheetData>
  <sheetProtection/>
  <mergeCells count="1">
    <mergeCell ref="A1:I1"/>
  </mergeCells>
  <printOptions/>
  <pageMargins left="0.5905511811023623" right="0" top="0.59" bottom="0.3937007874015748" header="0.31496062992125984" footer="0.31496062992125984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27"/>
  <sheetViews>
    <sheetView zoomScaleSheetLayoutView="100" zoomScalePageLayoutView="0" workbookViewId="0" topLeftCell="A209">
      <selection activeCell="G213" sqref="G213"/>
    </sheetView>
  </sheetViews>
  <sheetFormatPr defaultColWidth="9.140625" defaultRowHeight="24" customHeight="1"/>
  <cols>
    <col min="1" max="1" width="3.140625" style="102" customWidth="1"/>
    <col min="2" max="2" width="23.7109375" style="102" customWidth="1"/>
    <col min="3" max="3" width="11.140625" style="102" customWidth="1"/>
    <col min="4" max="4" width="9.28125" style="102" customWidth="1"/>
    <col min="5" max="5" width="10.7109375" style="102" customWidth="1"/>
    <col min="6" max="6" width="11.28125" style="102" customWidth="1"/>
    <col min="7" max="7" width="10.7109375" style="102" customWidth="1"/>
    <col min="8" max="8" width="11.28125" style="102" customWidth="1"/>
    <col min="9" max="10" width="11.8515625" style="102" customWidth="1"/>
    <col min="11" max="11" width="10.7109375" style="102" customWidth="1"/>
    <col min="12" max="12" width="11.28125" style="102" customWidth="1"/>
    <col min="13" max="13" width="4.421875" style="102" customWidth="1"/>
    <col min="14" max="14" width="2.28125" style="102" customWidth="1"/>
    <col min="15" max="16384" width="9.140625" style="102" customWidth="1"/>
  </cols>
  <sheetData>
    <row r="1" spans="1:12" s="404" customFormat="1" ht="24" customHeight="1">
      <c r="A1" s="665" t="s">
        <v>156</v>
      </c>
      <c r="B1" s="665"/>
      <c r="C1" s="665"/>
      <c r="D1" s="665"/>
      <c r="E1" s="665"/>
      <c r="F1" s="665"/>
      <c r="G1" s="665"/>
      <c r="H1" s="665"/>
      <c r="I1" s="665"/>
      <c r="J1" s="665"/>
      <c r="K1" s="665"/>
      <c r="L1" s="665"/>
    </row>
    <row r="2" spans="2:12" ht="24" customHeight="1">
      <c r="B2" s="516"/>
      <c r="C2" s="517"/>
      <c r="D2" s="517"/>
      <c r="E2" s="517"/>
      <c r="F2" s="517"/>
      <c r="G2" s="517"/>
      <c r="H2" s="517"/>
      <c r="I2" s="517"/>
      <c r="J2" s="517"/>
      <c r="K2" s="517"/>
      <c r="L2" s="517"/>
    </row>
    <row r="3" spans="1:3" ht="24" customHeight="1">
      <c r="A3" s="518" t="s">
        <v>530</v>
      </c>
      <c r="B3" s="404"/>
      <c r="C3" s="404"/>
    </row>
    <row r="4" spans="1:12" ht="24" customHeight="1">
      <c r="A4" s="519" t="s">
        <v>1078</v>
      </c>
      <c r="B4" s="520"/>
      <c r="C4" s="520"/>
      <c r="D4" s="521"/>
      <c r="E4" s="521"/>
      <c r="F4" s="521"/>
      <c r="G4" s="521"/>
      <c r="H4" s="521"/>
      <c r="I4" s="521"/>
      <c r="J4" s="522"/>
      <c r="K4" s="521"/>
      <c r="L4" s="521"/>
    </row>
    <row r="5" spans="1:12" s="300" customFormat="1" ht="24" customHeight="1">
      <c r="A5" s="523" t="s">
        <v>350</v>
      </c>
      <c r="B5" s="524" t="s">
        <v>113</v>
      </c>
      <c r="C5" s="220" t="s">
        <v>161</v>
      </c>
      <c r="D5" s="220" t="s">
        <v>349</v>
      </c>
      <c r="E5" s="666" t="s">
        <v>772</v>
      </c>
      <c r="F5" s="666"/>
      <c r="G5" s="666" t="s">
        <v>773</v>
      </c>
      <c r="H5" s="666"/>
      <c r="I5" s="667" t="s">
        <v>351</v>
      </c>
      <c r="J5" s="667"/>
      <c r="K5" s="667" t="s">
        <v>352</v>
      </c>
      <c r="L5" s="667"/>
    </row>
    <row r="6" spans="1:12" s="300" customFormat="1" ht="24" customHeight="1">
      <c r="A6" s="525"/>
      <c r="B6" s="526"/>
      <c r="C6" s="527" t="s">
        <v>162</v>
      </c>
      <c r="D6" s="527"/>
      <c r="E6" s="668" t="s">
        <v>354</v>
      </c>
      <c r="F6" s="668"/>
      <c r="G6" s="668" t="s">
        <v>655</v>
      </c>
      <c r="H6" s="668"/>
      <c r="I6" s="669" t="s">
        <v>353</v>
      </c>
      <c r="J6" s="669"/>
      <c r="K6" s="670" t="s">
        <v>353</v>
      </c>
      <c r="L6" s="670"/>
    </row>
    <row r="7" spans="1:12" s="529" customFormat="1" ht="24" customHeight="1">
      <c r="A7" s="528"/>
      <c r="B7" s="110"/>
      <c r="C7" s="34"/>
      <c r="D7" s="35"/>
      <c r="E7" s="221" t="s">
        <v>236</v>
      </c>
      <c r="F7" s="221" t="s">
        <v>141</v>
      </c>
      <c r="G7" s="221" t="s">
        <v>236</v>
      </c>
      <c r="H7" s="221" t="s">
        <v>141</v>
      </c>
      <c r="I7" s="221" t="s">
        <v>236</v>
      </c>
      <c r="J7" s="221" t="s">
        <v>141</v>
      </c>
      <c r="K7" s="221" t="s">
        <v>236</v>
      </c>
      <c r="L7" s="221" t="s">
        <v>141</v>
      </c>
    </row>
    <row r="8" spans="1:2" ht="24" customHeight="1">
      <c r="A8" s="235" t="s">
        <v>688</v>
      </c>
      <c r="B8" s="236" t="s">
        <v>121</v>
      </c>
    </row>
    <row r="9" spans="1:12" ht="24" customHeight="1">
      <c r="A9" s="46"/>
      <c r="B9" s="236" t="s">
        <v>122</v>
      </c>
      <c r="C9" s="46" t="s">
        <v>163</v>
      </c>
      <c r="D9" s="44" t="s">
        <v>246</v>
      </c>
      <c r="E9" s="104">
        <v>104814</v>
      </c>
      <c r="F9" s="222">
        <v>103577</v>
      </c>
      <c r="G9" s="102">
        <v>15.37</v>
      </c>
      <c r="H9" s="223">
        <v>15.55</v>
      </c>
      <c r="I9" s="223">
        <v>47184575.82</v>
      </c>
      <c r="J9" s="223">
        <v>47184575.82</v>
      </c>
      <c r="K9" s="224">
        <v>16111250</v>
      </c>
      <c r="L9" s="224">
        <v>12083437.5</v>
      </c>
    </row>
    <row r="10" spans="1:4" ht="24" customHeight="1">
      <c r="A10" s="235" t="s">
        <v>689</v>
      </c>
      <c r="B10" s="236" t="s">
        <v>774</v>
      </c>
      <c r="C10" s="46" t="s">
        <v>164</v>
      </c>
      <c r="D10" s="44"/>
    </row>
    <row r="11" spans="1:12" ht="24" customHeight="1">
      <c r="A11" s="46"/>
      <c r="B11" s="236"/>
      <c r="C11" s="46" t="s">
        <v>165</v>
      </c>
      <c r="D11" s="44" t="s">
        <v>246</v>
      </c>
      <c r="E11" s="222">
        <v>60000</v>
      </c>
      <c r="F11" s="222">
        <v>60000</v>
      </c>
      <c r="G11" s="223">
        <v>12.73</v>
      </c>
      <c r="H11" s="223">
        <v>12.73</v>
      </c>
      <c r="I11" s="223">
        <v>12215983.3</v>
      </c>
      <c r="J11" s="223">
        <v>12215983.3</v>
      </c>
      <c r="K11" s="224">
        <v>3817500</v>
      </c>
      <c r="L11" s="224">
        <v>3435750</v>
      </c>
    </row>
    <row r="12" spans="1:12" ht="24" customHeight="1">
      <c r="A12" s="235" t="s">
        <v>690</v>
      </c>
      <c r="B12" s="236" t="s">
        <v>398</v>
      </c>
      <c r="C12" s="46" t="s">
        <v>166</v>
      </c>
      <c r="D12" s="44" t="s">
        <v>367</v>
      </c>
      <c r="E12" s="222">
        <v>131700</v>
      </c>
      <c r="F12" s="222">
        <v>131700</v>
      </c>
      <c r="G12" s="102">
        <v>11.1</v>
      </c>
      <c r="H12" s="223">
        <v>11.1</v>
      </c>
      <c r="I12" s="223">
        <v>19053150</v>
      </c>
      <c r="J12" s="223">
        <v>19053150</v>
      </c>
      <c r="K12" s="224" t="s">
        <v>692</v>
      </c>
      <c r="L12" s="224" t="s">
        <v>692</v>
      </c>
    </row>
    <row r="13" spans="1:12" ht="24" customHeight="1">
      <c r="A13" s="235" t="s">
        <v>691</v>
      </c>
      <c r="B13" s="236" t="s">
        <v>399</v>
      </c>
      <c r="C13" s="46" t="s">
        <v>385</v>
      </c>
      <c r="D13" s="44" t="s">
        <v>245</v>
      </c>
      <c r="E13" s="222">
        <v>1634572</v>
      </c>
      <c r="F13" s="222">
        <v>1634572</v>
      </c>
      <c r="G13" s="223">
        <v>4.48</v>
      </c>
      <c r="H13" s="223">
        <v>4.48</v>
      </c>
      <c r="I13" s="223">
        <v>197844509.73</v>
      </c>
      <c r="J13" s="223">
        <v>197844509.73</v>
      </c>
      <c r="K13" s="224" t="s">
        <v>692</v>
      </c>
      <c r="L13" s="224" t="s">
        <v>692</v>
      </c>
    </row>
    <row r="14" spans="1:12" ht="24" customHeight="1">
      <c r="A14" s="235" t="s">
        <v>693</v>
      </c>
      <c r="B14" s="236" t="s">
        <v>400</v>
      </c>
      <c r="C14" s="46" t="s">
        <v>157</v>
      </c>
      <c r="D14" s="44" t="s">
        <v>246</v>
      </c>
      <c r="E14" s="222">
        <v>120000</v>
      </c>
      <c r="F14" s="222">
        <v>120000</v>
      </c>
      <c r="G14" s="223">
        <v>8.53</v>
      </c>
      <c r="H14" s="223">
        <v>8.53</v>
      </c>
      <c r="I14" s="223">
        <v>34040231.12</v>
      </c>
      <c r="J14" s="223">
        <v>34040231.12</v>
      </c>
      <c r="K14" s="224">
        <v>112640</v>
      </c>
      <c r="L14" s="224">
        <v>112640</v>
      </c>
    </row>
    <row r="15" spans="1:12" ht="24" customHeight="1">
      <c r="A15" s="235" t="s">
        <v>695</v>
      </c>
      <c r="B15" s="236" t="s">
        <v>401</v>
      </c>
      <c r="C15" s="46" t="s">
        <v>385</v>
      </c>
      <c r="D15" s="44" t="s">
        <v>247</v>
      </c>
      <c r="E15" s="222">
        <v>2700000</v>
      </c>
      <c r="F15" s="222">
        <v>2700000</v>
      </c>
      <c r="G15" s="223">
        <v>5.65</v>
      </c>
      <c r="H15" s="223">
        <v>5.65</v>
      </c>
      <c r="I15" s="223">
        <v>195978047.96</v>
      </c>
      <c r="J15" s="223">
        <v>195978047.96</v>
      </c>
      <c r="K15" s="224" t="s">
        <v>692</v>
      </c>
      <c r="L15" s="224" t="s">
        <v>692</v>
      </c>
    </row>
    <row r="16" spans="1:7" ht="24" customHeight="1">
      <c r="A16" s="235" t="s">
        <v>696</v>
      </c>
      <c r="B16" s="236" t="s">
        <v>135</v>
      </c>
      <c r="C16" s="46" t="s">
        <v>670</v>
      </c>
      <c r="D16" s="44"/>
      <c r="G16" s="223"/>
    </row>
    <row r="17" spans="2:12" ht="24" customHeight="1">
      <c r="B17" s="236" t="s">
        <v>206</v>
      </c>
      <c r="C17" s="46" t="s">
        <v>207</v>
      </c>
      <c r="D17" s="44" t="s">
        <v>382</v>
      </c>
      <c r="E17" s="222">
        <v>955000</v>
      </c>
      <c r="F17" s="222">
        <v>955000</v>
      </c>
      <c r="G17" s="223">
        <v>15.47</v>
      </c>
      <c r="H17" s="223">
        <v>15.47</v>
      </c>
      <c r="I17" s="223">
        <f>257709680.88</f>
        <v>257709680.88</v>
      </c>
      <c r="J17" s="223">
        <f>257709680.88</f>
        <v>257709680.88</v>
      </c>
      <c r="K17" s="224">
        <v>22154554.5</v>
      </c>
      <c r="L17" s="224">
        <v>44309109</v>
      </c>
    </row>
    <row r="18" spans="1:12" ht="24" customHeight="1">
      <c r="A18" s="235" t="s">
        <v>697</v>
      </c>
      <c r="B18" s="102" t="s">
        <v>1061</v>
      </c>
      <c r="C18" s="44" t="s">
        <v>380</v>
      </c>
      <c r="D18" s="44" t="s">
        <v>694</v>
      </c>
      <c r="E18" s="225" t="s">
        <v>515</v>
      </c>
      <c r="F18" s="225" t="s">
        <v>515</v>
      </c>
      <c r="G18" s="102">
        <v>0.11</v>
      </c>
      <c r="H18" s="223">
        <v>0.11</v>
      </c>
      <c r="I18" s="223">
        <v>92656195</v>
      </c>
      <c r="J18" s="223">
        <v>92656195</v>
      </c>
      <c r="K18" s="232">
        <v>1213631.4</v>
      </c>
      <c r="L18" s="232">
        <v>1034690.11</v>
      </c>
    </row>
    <row r="19" spans="1:12" s="229" customFormat="1" ht="24" customHeight="1">
      <c r="A19" s="244">
        <v>9</v>
      </c>
      <c r="B19" s="466" t="s">
        <v>39</v>
      </c>
      <c r="C19" s="46" t="s">
        <v>164</v>
      </c>
      <c r="D19" s="233"/>
      <c r="E19" s="222"/>
      <c r="F19" s="222"/>
      <c r="G19" s="223"/>
      <c r="H19" s="223"/>
      <c r="I19" s="223"/>
      <c r="J19" s="223"/>
      <c r="K19" s="224"/>
      <c r="L19" s="224"/>
    </row>
    <row r="20" spans="1:12" s="229" customFormat="1" ht="24" customHeight="1">
      <c r="A20" s="244"/>
      <c r="B20" s="466" t="s">
        <v>40</v>
      </c>
      <c r="C20" s="46" t="s">
        <v>165</v>
      </c>
      <c r="D20" s="233" t="s">
        <v>246</v>
      </c>
      <c r="E20" s="222">
        <v>149510</v>
      </c>
      <c r="F20" s="222">
        <v>149510</v>
      </c>
      <c r="G20" s="223">
        <v>15.5</v>
      </c>
      <c r="H20" s="223">
        <v>15.5</v>
      </c>
      <c r="I20" s="223">
        <v>43120478</v>
      </c>
      <c r="J20" s="223">
        <v>43120478</v>
      </c>
      <c r="K20" s="224" t="s">
        <v>692</v>
      </c>
      <c r="L20" s="224" t="s">
        <v>692</v>
      </c>
    </row>
    <row r="21" spans="1:12" s="229" customFormat="1" ht="24" customHeight="1">
      <c r="A21" s="244">
        <v>10</v>
      </c>
      <c r="B21" s="466" t="s">
        <v>38</v>
      </c>
      <c r="C21" s="46"/>
      <c r="D21" s="233"/>
      <c r="E21" s="222"/>
      <c r="F21" s="222"/>
      <c r="G21" s="223"/>
      <c r="H21" s="223"/>
      <c r="I21" s="223"/>
      <c r="J21" s="223"/>
      <c r="K21" s="232"/>
      <c r="L21" s="232"/>
    </row>
    <row r="22" spans="1:12" s="229" customFormat="1" ht="24" customHeight="1">
      <c r="A22" s="244"/>
      <c r="B22" s="466" t="s">
        <v>26</v>
      </c>
      <c r="C22" s="46" t="s">
        <v>157</v>
      </c>
      <c r="D22" s="233" t="s">
        <v>246</v>
      </c>
      <c r="E22" s="222">
        <v>96000</v>
      </c>
      <c r="F22" s="222">
        <v>96000</v>
      </c>
      <c r="G22" s="223">
        <v>12.75</v>
      </c>
      <c r="H22" s="223">
        <v>12.75</v>
      </c>
      <c r="I22" s="223">
        <v>45900132.6</v>
      </c>
      <c r="J22" s="223">
        <v>45900132.6</v>
      </c>
      <c r="K22" s="232">
        <v>6609600</v>
      </c>
      <c r="L22" s="232">
        <v>5263200</v>
      </c>
    </row>
    <row r="23" spans="1:12" s="229" customFormat="1" ht="24" customHeight="1">
      <c r="A23" s="244">
        <v>11</v>
      </c>
      <c r="B23" s="466" t="s">
        <v>25</v>
      </c>
      <c r="C23" s="263" t="s">
        <v>1168</v>
      </c>
      <c r="D23" s="233"/>
      <c r="E23" s="222"/>
      <c r="F23" s="222"/>
      <c r="G23" s="223"/>
      <c r="H23" s="223"/>
      <c r="I23" s="223"/>
      <c r="J23" s="223"/>
      <c r="K23" s="232"/>
      <c r="L23" s="232"/>
    </row>
    <row r="24" spans="1:12" s="229" customFormat="1" ht="24" customHeight="1">
      <c r="A24" s="244"/>
      <c r="B24" s="466" t="s">
        <v>26</v>
      </c>
      <c r="C24" s="263"/>
      <c r="D24" s="233" t="s">
        <v>246</v>
      </c>
      <c r="E24" s="222">
        <v>108000</v>
      </c>
      <c r="F24" s="222">
        <v>108000</v>
      </c>
      <c r="G24" s="223">
        <v>12.03</v>
      </c>
      <c r="H24" s="223">
        <v>12.03</v>
      </c>
      <c r="I24" s="223">
        <v>12993750</v>
      </c>
      <c r="J24" s="223">
        <v>12993750</v>
      </c>
      <c r="K24" s="232">
        <v>3898125</v>
      </c>
      <c r="L24" s="232">
        <v>6496875</v>
      </c>
    </row>
    <row r="25" spans="1:12" s="229" customFormat="1" ht="24" customHeight="1">
      <c r="A25" s="244">
        <v>12</v>
      </c>
      <c r="B25" s="466" t="s">
        <v>37</v>
      </c>
      <c r="C25" s="263" t="s">
        <v>1129</v>
      </c>
      <c r="D25" s="233"/>
      <c r="E25" s="222"/>
      <c r="F25" s="222"/>
      <c r="G25" s="223"/>
      <c r="H25" s="223"/>
      <c r="I25" s="223"/>
      <c r="J25" s="223"/>
      <c r="K25" s="232"/>
      <c r="L25" s="232"/>
    </row>
    <row r="26" spans="1:12" s="229" customFormat="1" ht="24" customHeight="1">
      <c r="A26" s="244"/>
      <c r="B26" s="466" t="s">
        <v>35</v>
      </c>
      <c r="C26" s="263"/>
      <c r="D26" s="233" t="s">
        <v>252</v>
      </c>
      <c r="E26" s="222">
        <v>75000</v>
      </c>
      <c r="F26" s="222">
        <v>75000</v>
      </c>
      <c r="G26" s="223">
        <v>13.6</v>
      </c>
      <c r="H26" s="223">
        <v>13.6</v>
      </c>
      <c r="I26" s="223">
        <v>21041040</v>
      </c>
      <c r="J26" s="223">
        <v>21041040</v>
      </c>
      <c r="K26" s="232">
        <v>5100000</v>
      </c>
      <c r="L26" s="232">
        <v>5100000</v>
      </c>
    </row>
    <row r="27" spans="1:12" s="229" customFormat="1" ht="24" customHeight="1">
      <c r="A27" s="244">
        <v>13</v>
      </c>
      <c r="B27" s="466" t="s">
        <v>36</v>
      </c>
      <c r="C27" s="263" t="s">
        <v>164</v>
      </c>
      <c r="D27" s="233"/>
      <c r="E27" s="222"/>
      <c r="F27" s="222"/>
      <c r="G27" s="223"/>
      <c r="H27" s="223"/>
      <c r="I27" s="223"/>
      <c r="J27" s="223"/>
      <c r="K27" s="224"/>
      <c r="L27" s="224"/>
    </row>
    <row r="28" spans="1:12" s="229" customFormat="1" ht="24" customHeight="1">
      <c r="A28" s="244"/>
      <c r="B28" s="466" t="s">
        <v>26</v>
      </c>
      <c r="C28" s="263" t="s">
        <v>165</v>
      </c>
      <c r="D28" s="233" t="s">
        <v>245</v>
      </c>
      <c r="E28" s="222">
        <v>100000</v>
      </c>
      <c r="F28" s="222">
        <v>100000</v>
      </c>
      <c r="G28" s="223">
        <v>5.33</v>
      </c>
      <c r="H28" s="223">
        <v>5.33</v>
      </c>
      <c r="I28" s="223">
        <v>11199960</v>
      </c>
      <c r="J28" s="223">
        <v>11199960</v>
      </c>
      <c r="K28" s="224" t="s">
        <v>692</v>
      </c>
      <c r="L28" s="224" t="s">
        <v>692</v>
      </c>
    </row>
    <row r="29" spans="1:12" s="229" customFormat="1" ht="24" customHeight="1">
      <c r="A29" s="244">
        <v>14</v>
      </c>
      <c r="B29" s="466" t="s">
        <v>32</v>
      </c>
      <c r="C29" s="263" t="s">
        <v>1130</v>
      </c>
      <c r="D29" s="233"/>
      <c r="E29" s="222"/>
      <c r="F29" s="222"/>
      <c r="G29" s="223"/>
      <c r="H29" s="223"/>
      <c r="I29" s="223"/>
      <c r="J29" s="223"/>
      <c r="K29" s="232"/>
      <c r="L29" s="232"/>
    </row>
    <row r="30" spans="1:12" s="229" customFormat="1" ht="24" customHeight="1">
      <c r="A30" s="244"/>
      <c r="B30" s="300" t="s">
        <v>33</v>
      </c>
      <c r="C30" s="263" t="s">
        <v>165</v>
      </c>
      <c r="D30" s="233" t="s">
        <v>543</v>
      </c>
      <c r="E30" s="222">
        <v>120000</v>
      </c>
      <c r="F30" s="222">
        <v>120000</v>
      </c>
      <c r="G30" s="223">
        <v>3</v>
      </c>
      <c r="H30" s="223">
        <v>3</v>
      </c>
      <c r="I30" s="223">
        <v>18000000</v>
      </c>
      <c r="J30" s="223">
        <v>18000000</v>
      </c>
      <c r="K30" s="232">
        <v>4028400</v>
      </c>
      <c r="L30" s="232">
        <v>2149200</v>
      </c>
    </row>
    <row r="31" spans="1:12" s="229" customFormat="1" ht="24" customHeight="1">
      <c r="A31" s="244">
        <v>15</v>
      </c>
      <c r="B31" s="466" t="s">
        <v>34</v>
      </c>
      <c r="C31" s="263" t="s">
        <v>71</v>
      </c>
      <c r="D31" s="233"/>
      <c r="E31" s="222"/>
      <c r="F31" s="222"/>
      <c r="G31" s="223"/>
      <c r="H31" s="223"/>
      <c r="I31" s="223"/>
      <c r="J31" s="223"/>
      <c r="K31" s="232"/>
      <c r="L31" s="232"/>
    </row>
    <row r="32" spans="1:12" s="229" customFormat="1" ht="24" customHeight="1">
      <c r="A32" s="244"/>
      <c r="B32" s="466" t="s">
        <v>35</v>
      </c>
      <c r="C32" s="263"/>
      <c r="D32" s="233" t="s">
        <v>543</v>
      </c>
      <c r="E32" s="222">
        <v>450000</v>
      </c>
      <c r="F32" s="222">
        <v>450000</v>
      </c>
      <c r="G32" s="223">
        <v>2.82</v>
      </c>
      <c r="H32" s="223">
        <v>2.82</v>
      </c>
      <c r="I32" s="226">
        <v>38008800</v>
      </c>
      <c r="J32" s="226">
        <v>38008800</v>
      </c>
      <c r="K32" s="515">
        <v>6803575.2</v>
      </c>
      <c r="L32" s="515">
        <v>4548386.4</v>
      </c>
    </row>
    <row r="33" spans="1:12" ht="24" customHeight="1">
      <c r="A33" s="46"/>
      <c r="B33" s="490" t="s">
        <v>402</v>
      </c>
      <c r="E33" s="227"/>
      <c r="F33" s="227"/>
      <c r="G33" s="223"/>
      <c r="H33" s="223"/>
      <c r="I33" s="223">
        <f>SUM(I9:I32)</f>
        <v>1046946534.4100001</v>
      </c>
      <c r="J33" s="223">
        <f>SUM(J9:J32)</f>
        <v>1046946534.4100001</v>
      </c>
      <c r="K33" s="223">
        <f>SUM(K9:K32)</f>
        <v>69849276.1</v>
      </c>
      <c r="L33" s="223">
        <f>SUM(L9:L32)</f>
        <v>84533288.01</v>
      </c>
    </row>
    <row r="34" spans="1:12" ht="24" customHeight="1">
      <c r="A34" s="46"/>
      <c r="B34" s="101" t="s">
        <v>167</v>
      </c>
      <c r="E34" s="227"/>
      <c r="F34" s="227"/>
      <c r="G34" s="223"/>
      <c r="H34" s="223"/>
      <c r="I34" s="223">
        <v>872542228.1</v>
      </c>
      <c r="J34" s="223">
        <v>647125219.2</v>
      </c>
      <c r="K34" s="228">
        <v>0</v>
      </c>
      <c r="L34" s="228">
        <v>0</v>
      </c>
    </row>
    <row r="35" spans="1:12" ht="24" customHeight="1">
      <c r="A35" s="46"/>
      <c r="B35" s="101" t="s">
        <v>769</v>
      </c>
      <c r="E35" s="227"/>
      <c r="F35" s="227"/>
      <c r="G35" s="223"/>
      <c r="H35" s="223"/>
      <c r="I35" s="226">
        <v>-209044469.73</v>
      </c>
      <c r="J35" s="226">
        <v>-209044469.73</v>
      </c>
      <c r="K35" s="228">
        <v>0</v>
      </c>
      <c r="L35" s="228">
        <v>0</v>
      </c>
    </row>
    <row r="36" spans="1:12" ht="24" customHeight="1" thickBot="1">
      <c r="A36" s="46"/>
      <c r="B36" s="101" t="s">
        <v>123</v>
      </c>
      <c r="E36" s="229"/>
      <c r="F36" s="229"/>
      <c r="G36" s="229"/>
      <c r="H36" s="229"/>
      <c r="I36" s="230">
        <f>SUM(I33:I35)</f>
        <v>1710444292.7800002</v>
      </c>
      <c r="J36" s="230">
        <f>SUM(J33:J35)</f>
        <v>1485027283.88</v>
      </c>
      <c r="K36" s="230">
        <f>SUM(K33:K35)</f>
        <v>69849276.1</v>
      </c>
      <c r="L36" s="230">
        <f>SUM(L33:L35)</f>
        <v>84533288.01</v>
      </c>
    </row>
    <row r="37" spans="1:10" ht="24" customHeight="1" thickTop="1">
      <c r="A37" s="530" t="s">
        <v>531</v>
      </c>
      <c r="B37" s="101"/>
      <c r="E37" s="104"/>
      <c r="F37" s="104"/>
      <c r="I37" s="531"/>
      <c r="J37" s="531"/>
    </row>
    <row r="38" spans="1:4" ht="24" customHeight="1">
      <c r="A38" s="532" t="s">
        <v>705</v>
      </c>
      <c r="B38" s="236" t="s">
        <v>168</v>
      </c>
      <c r="C38" s="44"/>
      <c r="D38" s="44"/>
    </row>
    <row r="39" spans="2:12" ht="24" customHeight="1">
      <c r="B39" s="102" t="s">
        <v>169</v>
      </c>
      <c r="C39" s="46" t="s">
        <v>176</v>
      </c>
      <c r="D39" s="44" t="s">
        <v>252</v>
      </c>
      <c r="E39" s="222">
        <v>200000</v>
      </c>
      <c r="F39" s="222">
        <v>200000</v>
      </c>
      <c r="G39" s="223">
        <v>18.16</v>
      </c>
      <c r="H39" s="223">
        <v>18.16</v>
      </c>
      <c r="I39" s="223">
        <v>69561939.58</v>
      </c>
      <c r="J39" s="223">
        <v>69561939.58</v>
      </c>
      <c r="K39" s="224" t="s">
        <v>692</v>
      </c>
      <c r="L39" s="224" t="s">
        <v>692</v>
      </c>
    </row>
    <row r="40" spans="1:4" ht="24" customHeight="1">
      <c r="A40" s="235" t="s">
        <v>706</v>
      </c>
      <c r="B40" s="236" t="s">
        <v>170</v>
      </c>
      <c r="C40" s="46"/>
      <c r="D40" s="44"/>
    </row>
    <row r="41" spans="2:12" ht="24" customHeight="1">
      <c r="B41" s="102" t="s">
        <v>169</v>
      </c>
      <c r="C41" s="46" t="s">
        <v>177</v>
      </c>
      <c r="D41" s="44" t="s">
        <v>382</v>
      </c>
      <c r="E41" s="231">
        <v>10000</v>
      </c>
      <c r="F41" s="231">
        <v>10000</v>
      </c>
      <c r="G41" s="223">
        <v>18</v>
      </c>
      <c r="H41" s="223">
        <v>18</v>
      </c>
      <c r="I41" s="223">
        <f>2952357.5</f>
        <v>2952357.5</v>
      </c>
      <c r="J41" s="223">
        <f>2952357.5</f>
        <v>2952357.5</v>
      </c>
      <c r="K41" s="102">
        <v>54000</v>
      </c>
      <c r="L41" s="224">
        <v>90000</v>
      </c>
    </row>
    <row r="42" spans="1:4" ht="24" customHeight="1">
      <c r="A42" s="235" t="s">
        <v>707</v>
      </c>
      <c r="B42" s="236" t="s">
        <v>171</v>
      </c>
      <c r="C42" s="46"/>
      <c r="D42" s="44"/>
    </row>
    <row r="43" spans="2:13" ht="24" customHeight="1">
      <c r="B43" s="102" t="s">
        <v>169</v>
      </c>
      <c r="C43" s="46" t="s">
        <v>671</v>
      </c>
      <c r="D43" s="44" t="s">
        <v>126</v>
      </c>
      <c r="E43" s="231">
        <v>127000</v>
      </c>
      <c r="F43" s="231">
        <v>127000</v>
      </c>
      <c r="G43" s="223">
        <v>8.78</v>
      </c>
      <c r="H43" s="223">
        <v>8.78</v>
      </c>
      <c r="I43" s="223">
        <v>15053034.16</v>
      </c>
      <c r="J43" s="223">
        <v>15053034.16</v>
      </c>
      <c r="K43" s="224">
        <v>1672500</v>
      </c>
      <c r="L43" s="224">
        <v>1672500</v>
      </c>
      <c r="M43" s="46"/>
    </row>
    <row r="44" spans="1:12" ht="24" customHeight="1">
      <c r="A44" s="235"/>
      <c r="B44" s="236"/>
      <c r="C44" s="46"/>
      <c r="D44" s="44"/>
      <c r="E44" s="231"/>
      <c r="F44" s="231"/>
      <c r="G44" s="223"/>
      <c r="H44" s="223"/>
      <c r="I44" s="232"/>
      <c r="J44" s="232"/>
      <c r="K44" s="224"/>
      <c r="L44" s="461"/>
    </row>
    <row r="45" spans="1:12" ht="24" customHeight="1">
      <c r="A45" s="235"/>
      <c r="B45" s="236"/>
      <c r="C45" s="46"/>
      <c r="D45" s="44"/>
      <c r="E45" s="231"/>
      <c r="F45" s="231"/>
      <c r="G45" s="223"/>
      <c r="H45" s="223"/>
      <c r="I45" s="232"/>
      <c r="J45" s="232"/>
      <c r="K45" s="224"/>
      <c r="L45" s="461"/>
    </row>
    <row r="46" spans="1:12" ht="24" customHeight="1">
      <c r="A46" s="533" t="s">
        <v>1079</v>
      </c>
      <c r="B46" s="533"/>
      <c r="C46" s="533"/>
      <c r="D46" s="533"/>
      <c r="E46" s="533"/>
      <c r="F46" s="533"/>
      <c r="G46" s="533"/>
      <c r="H46" s="533"/>
      <c r="I46" s="533"/>
      <c r="J46" s="533"/>
      <c r="K46" s="533"/>
      <c r="L46" s="533"/>
    </row>
    <row r="47" spans="1:12" ht="24" customHeight="1">
      <c r="A47" s="46"/>
      <c r="B47" s="101"/>
      <c r="I47" s="531"/>
      <c r="J47" s="531"/>
      <c r="K47" s="531"/>
      <c r="L47" s="531"/>
    </row>
    <row r="48" spans="1:12" ht="24" customHeight="1">
      <c r="A48" s="534" t="s">
        <v>532</v>
      </c>
      <c r="C48" s="44"/>
      <c r="D48" s="44"/>
      <c r="E48" s="44"/>
      <c r="F48" s="44"/>
      <c r="G48" s="535"/>
      <c r="H48" s="535"/>
      <c r="I48" s="531"/>
      <c r="J48" s="531"/>
      <c r="K48" s="531"/>
      <c r="L48" s="531"/>
    </row>
    <row r="49" spans="1:12" s="300" customFormat="1" ht="24" customHeight="1">
      <c r="A49" s="523" t="s">
        <v>350</v>
      </c>
      <c r="B49" s="524" t="s">
        <v>113</v>
      </c>
      <c r="C49" s="220" t="s">
        <v>161</v>
      </c>
      <c r="D49" s="220" t="s">
        <v>349</v>
      </c>
      <c r="E49" s="536" t="s">
        <v>772</v>
      </c>
      <c r="F49" s="536"/>
      <c r="G49" s="536" t="s">
        <v>773</v>
      </c>
      <c r="H49" s="536"/>
      <c r="I49" s="536" t="s">
        <v>351</v>
      </c>
      <c r="J49" s="536"/>
      <c r="K49" s="536" t="s">
        <v>352</v>
      </c>
      <c r="L49" s="536"/>
    </row>
    <row r="50" spans="1:12" s="300" customFormat="1" ht="24" customHeight="1">
      <c r="A50" s="525"/>
      <c r="B50" s="526"/>
      <c r="C50" s="527" t="s">
        <v>162</v>
      </c>
      <c r="D50" s="527"/>
      <c r="E50" s="537" t="s">
        <v>354</v>
      </c>
      <c r="F50" s="537"/>
      <c r="G50" s="537" t="s">
        <v>655</v>
      </c>
      <c r="H50" s="537"/>
      <c r="I50" s="537" t="s">
        <v>353</v>
      </c>
      <c r="J50" s="537"/>
      <c r="K50" s="537" t="s">
        <v>353</v>
      </c>
      <c r="L50" s="537"/>
    </row>
    <row r="51" spans="1:12" s="529" customFormat="1" ht="24" customHeight="1">
      <c r="A51" s="528"/>
      <c r="B51" s="110"/>
      <c r="C51" s="34"/>
      <c r="D51" s="35"/>
      <c r="E51" s="221" t="s">
        <v>236</v>
      </c>
      <c r="F51" s="221" t="s">
        <v>141</v>
      </c>
      <c r="G51" s="221" t="s">
        <v>236</v>
      </c>
      <c r="H51" s="221" t="s">
        <v>141</v>
      </c>
      <c r="I51" s="221" t="s">
        <v>236</v>
      </c>
      <c r="J51" s="221" t="s">
        <v>141</v>
      </c>
      <c r="K51" s="221" t="s">
        <v>236</v>
      </c>
      <c r="L51" s="221" t="s">
        <v>141</v>
      </c>
    </row>
    <row r="52" spans="1:12" ht="24" customHeight="1">
      <c r="A52" s="235" t="s">
        <v>708</v>
      </c>
      <c r="B52" s="236" t="s">
        <v>403</v>
      </c>
      <c r="C52" s="46" t="s">
        <v>178</v>
      </c>
      <c r="D52" s="44" t="s">
        <v>246</v>
      </c>
      <c r="E52" s="231">
        <v>100000</v>
      </c>
      <c r="F52" s="231">
        <v>100000</v>
      </c>
      <c r="G52" s="223">
        <v>15</v>
      </c>
      <c r="H52" s="223">
        <v>15</v>
      </c>
      <c r="I52" s="232">
        <f>16339805.49</f>
        <v>16339805.49</v>
      </c>
      <c r="J52" s="232">
        <f>16339805.49</f>
        <v>16339805.49</v>
      </c>
      <c r="K52" s="224" t="s">
        <v>692</v>
      </c>
      <c r="L52" s="224" t="s">
        <v>692</v>
      </c>
    </row>
    <row r="53" spans="1:13" ht="24" customHeight="1">
      <c r="A53" s="235" t="s">
        <v>709</v>
      </c>
      <c r="B53" s="236" t="s">
        <v>172</v>
      </c>
      <c r="C53" s="46"/>
      <c r="D53" s="44"/>
      <c r="M53" s="535"/>
    </row>
    <row r="54" spans="2:12" ht="24" customHeight="1">
      <c r="B54" s="102" t="s">
        <v>169</v>
      </c>
      <c r="C54" s="46" t="s">
        <v>283</v>
      </c>
      <c r="D54" s="44" t="s">
        <v>247</v>
      </c>
      <c r="E54" s="231">
        <v>20000</v>
      </c>
      <c r="F54" s="231">
        <v>20000</v>
      </c>
      <c r="G54" s="223">
        <v>19.5</v>
      </c>
      <c r="H54" s="223">
        <v>19.5</v>
      </c>
      <c r="I54" s="232">
        <f>6246583.44</f>
        <v>6246583.44</v>
      </c>
      <c r="J54" s="232">
        <f>6246583.44</f>
        <v>6246583.44</v>
      </c>
      <c r="K54" s="224">
        <v>1559920</v>
      </c>
      <c r="L54" s="224">
        <v>1559920</v>
      </c>
    </row>
    <row r="55" spans="1:12" ht="24" customHeight="1">
      <c r="A55" s="235" t="s">
        <v>710</v>
      </c>
      <c r="B55" s="236" t="s">
        <v>404</v>
      </c>
      <c r="C55" s="46" t="s">
        <v>356</v>
      </c>
      <c r="D55" s="44" t="s">
        <v>245</v>
      </c>
      <c r="E55" s="231">
        <v>20000</v>
      </c>
      <c r="F55" s="231">
        <v>20000</v>
      </c>
      <c r="G55" s="223">
        <v>19.5</v>
      </c>
      <c r="H55" s="223">
        <v>19.5</v>
      </c>
      <c r="I55" s="232">
        <f>5906141.75</f>
        <v>5906141.75</v>
      </c>
      <c r="J55" s="232">
        <f>5906141.75</f>
        <v>5906141.75</v>
      </c>
      <c r="K55" s="224" t="s">
        <v>692</v>
      </c>
      <c r="L55" s="461">
        <v>0</v>
      </c>
    </row>
    <row r="56" spans="1:12" ht="24" customHeight="1">
      <c r="A56" s="235" t="s">
        <v>711</v>
      </c>
      <c r="B56" s="236" t="s">
        <v>173</v>
      </c>
      <c r="D56" s="44"/>
      <c r="E56" s="227"/>
      <c r="F56" s="227"/>
      <c r="G56" s="229"/>
      <c r="H56" s="229"/>
      <c r="I56" s="223"/>
      <c r="J56" s="223"/>
      <c r="K56" s="227"/>
      <c r="L56" s="227"/>
    </row>
    <row r="57" spans="1:12" ht="24" customHeight="1">
      <c r="A57" s="46"/>
      <c r="B57" s="102" t="s">
        <v>169</v>
      </c>
      <c r="C57" s="46" t="s">
        <v>179</v>
      </c>
      <c r="D57" s="44" t="s">
        <v>246</v>
      </c>
      <c r="E57" s="231">
        <v>20000</v>
      </c>
      <c r="F57" s="231">
        <v>20000</v>
      </c>
      <c r="G57" s="229">
        <v>18</v>
      </c>
      <c r="H57" s="229">
        <v>18</v>
      </c>
      <c r="I57" s="232">
        <f>14052348.45</f>
        <v>14052348.45</v>
      </c>
      <c r="J57" s="232">
        <f>14052348.45</f>
        <v>14052348.45</v>
      </c>
      <c r="K57" s="102">
        <v>1800000</v>
      </c>
      <c r="L57" s="224">
        <v>2520000</v>
      </c>
    </row>
    <row r="58" spans="1:4" ht="24" customHeight="1">
      <c r="A58" s="235" t="s">
        <v>712</v>
      </c>
      <c r="B58" s="236" t="s">
        <v>174</v>
      </c>
      <c r="D58" s="44"/>
    </row>
    <row r="59" spans="1:12" ht="24" customHeight="1">
      <c r="A59" s="46"/>
      <c r="B59" s="102" t="s">
        <v>169</v>
      </c>
      <c r="C59" s="46" t="s">
        <v>656</v>
      </c>
      <c r="D59" s="44" t="s">
        <v>357</v>
      </c>
      <c r="E59" s="233" t="s">
        <v>405</v>
      </c>
      <c r="F59" s="233" t="s">
        <v>405</v>
      </c>
      <c r="G59" s="223">
        <v>18</v>
      </c>
      <c r="H59" s="223">
        <v>18</v>
      </c>
      <c r="I59" s="232">
        <f>2161197.26</f>
        <v>2161197.26</v>
      </c>
      <c r="J59" s="232">
        <f>2161197.26</f>
        <v>2161197.26</v>
      </c>
      <c r="K59" s="224" t="s">
        <v>692</v>
      </c>
      <c r="L59" s="224" t="s">
        <v>692</v>
      </c>
    </row>
    <row r="60" spans="1:4" ht="24" customHeight="1">
      <c r="A60" s="235" t="s">
        <v>713</v>
      </c>
      <c r="B60" s="236" t="s">
        <v>175</v>
      </c>
      <c r="C60" s="46"/>
      <c r="D60" s="44"/>
    </row>
    <row r="61" spans="2:12" ht="24" customHeight="1">
      <c r="B61" s="102" t="s">
        <v>169</v>
      </c>
      <c r="C61" s="46" t="s">
        <v>361</v>
      </c>
      <c r="D61" s="44" t="s">
        <v>246</v>
      </c>
      <c r="E61" s="231">
        <v>30000</v>
      </c>
      <c r="F61" s="231">
        <v>30000</v>
      </c>
      <c r="G61" s="223">
        <v>16</v>
      </c>
      <c r="H61" s="223">
        <v>16</v>
      </c>
      <c r="I61" s="223">
        <v>4922582.5</v>
      </c>
      <c r="J61" s="223">
        <v>4922582.5</v>
      </c>
      <c r="K61" s="102">
        <v>1440000</v>
      </c>
      <c r="L61" s="224">
        <v>1680000</v>
      </c>
    </row>
    <row r="62" spans="1:12" ht="24" customHeight="1">
      <c r="A62" s="235" t="s">
        <v>714</v>
      </c>
      <c r="B62" s="236" t="s">
        <v>183</v>
      </c>
      <c r="C62" s="46" t="s">
        <v>184</v>
      </c>
      <c r="D62" s="44"/>
      <c r="E62" s="231"/>
      <c r="F62" s="231"/>
      <c r="G62" s="223"/>
      <c r="H62" s="223"/>
      <c r="I62" s="223"/>
      <c r="J62" s="223"/>
      <c r="K62" s="229"/>
      <c r="L62" s="229"/>
    </row>
    <row r="63" spans="1:12" ht="24" customHeight="1">
      <c r="A63" s="46"/>
      <c r="B63" s="102" t="s">
        <v>182</v>
      </c>
      <c r="C63" s="46" t="s">
        <v>181</v>
      </c>
      <c r="D63" s="44" t="s">
        <v>382</v>
      </c>
      <c r="E63" s="231">
        <v>1200000</v>
      </c>
      <c r="F63" s="231">
        <v>1200000</v>
      </c>
      <c r="G63" s="223">
        <v>3</v>
      </c>
      <c r="H63" s="223">
        <v>3</v>
      </c>
      <c r="I63" s="223">
        <v>36000000</v>
      </c>
      <c r="J63" s="223">
        <v>36000000</v>
      </c>
      <c r="K63" s="102">
        <v>108000000</v>
      </c>
      <c r="L63" s="224">
        <f>10800000+36000000</f>
        <v>46800000</v>
      </c>
    </row>
    <row r="64" spans="1:12" ht="24" customHeight="1">
      <c r="A64" s="235" t="s">
        <v>715</v>
      </c>
      <c r="B64" s="236" t="s">
        <v>406</v>
      </c>
      <c r="C64" s="46" t="s">
        <v>193</v>
      </c>
      <c r="D64" s="44" t="s">
        <v>382</v>
      </c>
      <c r="E64" s="231">
        <v>237500</v>
      </c>
      <c r="F64" s="231">
        <v>237500</v>
      </c>
      <c r="G64" s="223">
        <v>10</v>
      </c>
      <c r="H64" s="223">
        <v>10</v>
      </c>
      <c r="I64" s="223">
        <v>23760000</v>
      </c>
      <c r="J64" s="223">
        <v>23760000</v>
      </c>
      <c r="K64" s="102">
        <v>4276800</v>
      </c>
      <c r="L64" s="234">
        <v>2613600</v>
      </c>
    </row>
    <row r="65" spans="1:12" ht="24" customHeight="1">
      <c r="A65" s="235" t="s">
        <v>716</v>
      </c>
      <c r="B65" s="236" t="s">
        <v>83</v>
      </c>
      <c r="C65" s="46" t="s">
        <v>657</v>
      </c>
      <c r="D65" s="44"/>
      <c r="E65" s="231"/>
      <c r="F65" s="231"/>
      <c r="G65" s="223"/>
      <c r="H65" s="223"/>
      <c r="I65" s="223"/>
      <c r="J65" s="223"/>
      <c r="K65" s="229"/>
      <c r="L65" s="229"/>
    </row>
    <row r="66" spans="2:12" ht="24" customHeight="1">
      <c r="B66" s="102" t="s">
        <v>169</v>
      </c>
      <c r="C66" s="46" t="s">
        <v>658</v>
      </c>
      <c r="D66" s="44" t="s">
        <v>382</v>
      </c>
      <c r="E66" s="231">
        <v>378857</v>
      </c>
      <c r="F66" s="231">
        <v>378857</v>
      </c>
      <c r="G66" s="223">
        <v>15</v>
      </c>
      <c r="H66" s="223">
        <v>15</v>
      </c>
      <c r="I66" s="223">
        <f>94678656+1400</f>
        <v>94680056</v>
      </c>
      <c r="J66" s="223">
        <v>94680056</v>
      </c>
      <c r="K66" s="102">
        <v>4500000</v>
      </c>
      <c r="L66" s="224">
        <v>4318867.2</v>
      </c>
    </row>
    <row r="67" spans="1:10" ht="24" customHeight="1">
      <c r="A67" s="235" t="s">
        <v>717</v>
      </c>
      <c r="B67" s="236" t="s">
        <v>185</v>
      </c>
      <c r="D67" s="44"/>
      <c r="E67" s="535"/>
      <c r="F67" s="535"/>
      <c r="G67" s="531"/>
      <c r="H67" s="531"/>
      <c r="I67" s="531"/>
      <c r="J67" s="531"/>
    </row>
    <row r="68" spans="1:13" ht="24" customHeight="1">
      <c r="A68" s="46"/>
      <c r="B68" s="102" t="s">
        <v>169</v>
      </c>
      <c r="C68" s="46" t="s">
        <v>180</v>
      </c>
      <c r="D68" s="44" t="s">
        <v>254</v>
      </c>
      <c r="E68" s="231">
        <v>80000</v>
      </c>
      <c r="F68" s="231">
        <v>70000</v>
      </c>
      <c r="G68" s="223">
        <v>11.97</v>
      </c>
      <c r="H68" s="223">
        <v>12.23</v>
      </c>
      <c r="I68" s="223">
        <v>9572050</v>
      </c>
      <c r="J68" s="223">
        <v>8559480</v>
      </c>
      <c r="K68" s="224">
        <v>58168045</v>
      </c>
      <c r="L68" s="224">
        <f>29958180+21398700</f>
        <v>51356880</v>
      </c>
      <c r="M68" s="46"/>
    </row>
    <row r="69" spans="1:13" ht="24" customHeight="1">
      <c r="A69" s="235" t="s">
        <v>718</v>
      </c>
      <c r="B69" s="236" t="s">
        <v>516</v>
      </c>
      <c r="C69" s="46"/>
      <c r="D69" s="44"/>
      <c r="G69" s="229"/>
      <c r="H69" s="229"/>
      <c r="I69" s="229"/>
      <c r="J69" s="229"/>
      <c r="K69" s="229"/>
      <c r="L69" s="229"/>
      <c r="M69" s="46"/>
    </row>
    <row r="70" spans="1:13" ht="24" customHeight="1">
      <c r="A70" s="235"/>
      <c r="B70" s="236" t="s">
        <v>517</v>
      </c>
      <c r="C70" s="46" t="s">
        <v>518</v>
      </c>
      <c r="M70" s="237"/>
    </row>
    <row r="71" spans="1:13" ht="24" customHeight="1">
      <c r="A71" s="235"/>
      <c r="B71" s="102" t="s">
        <v>169</v>
      </c>
      <c r="C71" s="46" t="s">
        <v>519</v>
      </c>
      <c r="D71" s="44" t="s">
        <v>254</v>
      </c>
      <c r="E71" s="231">
        <v>88000</v>
      </c>
      <c r="F71" s="231">
        <v>88000</v>
      </c>
      <c r="G71" s="223">
        <v>9</v>
      </c>
      <c r="H71" s="223">
        <v>9</v>
      </c>
      <c r="I71" s="223">
        <v>7920000</v>
      </c>
      <c r="J71" s="223">
        <v>7920000</v>
      </c>
      <c r="K71" s="224">
        <v>2145528</v>
      </c>
      <c r="L71" s="224">
        <v>4066920</v>
      </c>
      <c r="M71" s="237"/>
    </row>
    <row r="72" spans="1:13" ht="24" customHeight="1">
      <c r="A72" s="235" t="s">
        <v>719</v>
      </c>
      <c r="B72" s="236" t="s">
        <v>186</v>
      </c>
      <c r="C72" s="46"/>
      <c r="D72" s="44"/>
      <c r="M72" s="237"/>
    </row>
    <row r="73" spans="1:12" ht="24" customHeight="1">
      <c r="A73" s="46"/>
      <c r="B73" s="102" t="s">
        <v>169</v>
      </c>
      <c r="C73" s="46" t="s">
        <v>194</v>
      </c>
      <c r="D73" s="44" t="s">
        <v>357</v>
      </c>
      <c r="E73" s="231">
        <v>102300</v>
      </c>
      <c r="F73" s="231">
        <v>102300</v>
      </c>
      <c r="G73" s="223">
        <v>19.55</v>
      </c>
      <c r="H73" s="223">
        <v>19.55</v>
      </c>
      <c r="I73" s="223">
        <f>15000000+3750000+14312.5</f>
        <v>18764312.5</v>
      </c>
      <c r="J73" s="223">
        <f>15000000+3750000+14312.5</f>
        <v>18764312.5</v>
      </c>
      <c r="K73" s="224" t="s">
        <v>692</v>
      </c>
      <c r="L73" s="224" t="s">
        <v>692</v>
      </c>
    </row>
    <row r="74" spans="1:13" ht="24" customHeight="1">
      <c r="A74" s="235" t="s">
        <v>720</v>
      </c>
      <c r="B74" s="236" t="s">
        <v>187</v>
      </c>
      <c r="C74" s="46"/>
      <c r="D74" s="44"/>
      <c r="M74" s="237"/>
    </row>
    <row r="75" spans="2:13" ht="24" customHeight="1">
      <c r="B75" s="102" t="s">
        <v>169</v>
      </c>
      <c r="C75" s="46" t="s">
        <v>356</v>
      </c>
      <c r="D75" s="44" t="s">
        <v>254</v>
      </c>
      <c r="E75" s="231">
        <v>10000</v>
      </c>
      <c r="F75" s="231">
        <v>10000</v>
      </c>
      <c r="G75" s="223">
        <v>15</v>
      </c>
      <c r="H75" s="223">
        <v>15</v>
      </c>
      <c r="I75" s="223">
        <v>1500000</v>
      </c>
      <c r="J75" s="223">
        <v>1500000</v>
      </c>
      <c r="K75" s="224">
        <v>3000000</v>
      </c>
      <c r="L75" s="224">
        <v>750000</v>
      </c>
      <c r="M75" s="237"/>
    </row>
    <row r="76" spans="1:12" ht="24" customHeight="1">
      <c r="A76" s="235" t="s">
        <v>722</v>
      </c>
      <c r="B76" s="236" t="s">
        <v>330</v>
      </c>
      <c r="C76" s="538" t="s">
        <v>359</v>
      </c>
      <c r="D76" s="44" t="s">
        <v>255</v>
      </c>
      <c r="E76" s="231">
        <v>60000</v>
      </c>
      <c r="F76" s="231">
        <v>120000</v>
      </c>
      <c r="G76" s="223">
        <v>15</v>
      </c>
      <c r="H76" s="223">
        <v>15</v>
      </c>
      <c r="I76" s="232">
        <v>9000000</v>
      </c>
      <c r="J76" s="232">
        <f>18000000</f>
        <v>18000000</v>
      </c>
      <c r="K76" s="224">
        <v>2340000</v>
      </c>
      <c r="L76" s="224">
        <v>1260000</v>
      </c>
    </row>
    <row r="77" spans="1:4" ht="24" customHeight="1">
      <c r="A77" s="235" t="s">
        <v>723</v>
      </c>
      <c r="B77" s="236" t="s">
        <v>188</v>
      </c>
      <c r="D77" s="44"/>
    </row>
    <row r="78" spans="1:12" ht="24" customHeight="1">
      <c r="A78" s="46"/>
      <c r="B78" s="102" t="s">
        <v>189</v>
      </c>
      <c r="C78" s="538" t="s">
        <v>659</v>
      </c>
      <c r="D78" s="44" t="s">
        <v>254</v>
      </c>
      <c r="E78" s="231">
        <v>310000</v>
      </c>
      <c r="F78" s="231">
        <v>310000</v>
      </c>
      <c r="G78" s="223">
        <v>15</v>
      </c>
      <c r="H78" s="223">
        <v>15</v>
      </c>
      <c r="I78" s="232">
        <f>42502500</f>
        <v>42502500</v>
      </c>
      <c r="J78" s="232">
        <f>42502500</f>
        <v>42502500</v>
      </c>
      <c r="K78" s="224" t="s">
        <v>692</v>
      </c>
      <c r="L78" s="224" t="s">
        <v>692</v>
      </c>
    </row>
    <row r="79" spans="1:12" ht="24" customHeight="1">
      <c r="A79" s="235" t="s">
        <v>724</v>
      </c>
      <c r="B79" s="236" t="s">
        <v>407</v>
      </c>
      <c r="C79" s="46" t="s">
        <v>195</v>
      </c>
      <c r="D79" s="44" t="s">
        <v>126</v>
      </c>
      <c r="E79" s="231">
        <v>81000</v>
      </c>
      <c r="F79" s="231">
        <v>81000</v>
      </c>
      <c r="G79" s="223">
        <v>12.41</v>
      </c>
      <c r="H79" s="223">
        <v>12.41</v>
      </c>
      <c r="I79" s="223">
        <v>5053360</v>
      </c>
      <c r="J79" s="223">
        <v>5053360</v>
      </c>
      <c r="K79" s="224">
        <v>2011040</v>
      </c>
      <c r="L79" s="224">
        <v>100552</v>
      </c>
    </row>
    <row r="80" spans="1:12" ht="24" customHeight="1">
      <c r="A80" s="235" t="s">
        <v>726</v>
      </c>
      <c r="B80" s="236" t="s">
        <v>408</v>
      </c>
      <c r="C80" s="46" t="s">
        <v>158</v>
      </c>
      <c r="D80" s="44" t="s">
        <v>382</v>
      </c>
      <c r="E80" s="231">
        <v>60000</v>
      </c>
      <c r="F80" s="231">
        <v>60000</v>
      </c>
      <c r="G80" s="223">
        <v>10</v>
      </c>
      <c r="H80" s="223">
        <v>10</v>
      </c>
      <c r="I80" s="223">
        <v>6000000</v>
      </c>
      <c r="J80" s="223">
        <v>6000000</v>
      </c>
      <c r="K80" s="224">
        <v>600000</v>
      </c>
      <c r="L80" s="224">
        <v>690000</v>
      </c>
    </row>
    <row r="81" spans="1:12" ht="24" customHeight="1">
      <c r="A81" s="235" t="s">
        <v>727</v>
      </c>
      <c r="B81" s="236" t="s">
        <v>409</v>
      </c>
      <c r="C81" s="46" t="s">
        <v>660</v>
      </c>
      <c r="D81" s="44" t="s">
        <v>357</v>
      </c>
      <c r="E81" s="462">
        <v>0</v>
      </c>
      <c r="F81" s="231">
        <v>30000</v>
      </c>
      <c r="G81" s="462">
        <v>0</v>
      </c>
      <c r="H81" s="223">
        <v>12.67</v>
      </c>
      <c r="I81" s="462">
        <v>0</v>
      </c>
      <c r="J81" s="223">
        <v>7843912.5</v>
      </c>
      <c r="K81" s="224" t="s">
        <v>692</v>
      </c>
      <c r="L81" s="224" t="s">
        <v>692</v>
      </c>
    </row>
    <row r="82" spans="1:4" ht="24" customHeight="1">
      <c r="A82" s="235" t="s">
        <v>728</v>
      </c>
      <c r="B82" s="236" t="s">
        <v>410</v>
      </c>
      <c r="C82" s="46" t="s">
        <v>661</v>
      </c>
      <c r="D82" s="44"/>
    </row>
    <row r="83" spans="1:12" ht="24" customHeight="1">
      <c r="A83" s="46"/>
      <c r="C83" s="46" t="s">
        <v>662</v>
      </c>
      <c r="D83" s="44" t="s">
        <v>382</v>
      </c>
      <c r="E83" s="231">
        <v>126000</v>
      </c>
      <c r="F83" s="231">
        <v>126000</v>
      </c>
      <c r="G83" s="223">
        <v>14.75</v>
      </c>
      <c r="H83" s="223">
        <v>14.75</v>
      </c>
      <c r="I83" s="223">
        <v>19202504.36</v>
      </c>
      <c r="J83" s="223">
        <v>19202504.36</v>
      </c>
      <c r="K83" s="224">
        <v>9292500</v>
      </c>
      <c r="L83" s="224">
        <v>5575500</v>
      </c>
    </row>
    <row r="84" spans="1:4" ht="24" customHeight="1">
      <c r="A84" s="235" t="s">
        <v>729</v>
      </c>
      <c r="B84" s="236" t="s">
        <v>721</v>
      </c>
      <c r="C84" s="46"/>
      <c r="D84" s="44"/>
    </row>
    <row r="85" spans="1:12" ht="24" customHeight="1">
      <c r="A85" s="46"/>
      <c r="B85" s="102" t="s">
        <v>169</v>
      </c>
      <c r="C85" s="46" t="s">
        <v>196</v>
      </c>
      <c r="D85" s="44" t="s">
        <v>126</v>
      </c>
      <c r="E85" s="231">
        <v>270000</v>
      </c>
      <c r="F85" s="231">
        <v>270000</v>
      </c>
      <c r="G85" s="223">
        <v>19.71</v>
      </c>
      <c r="H85" s="223">
        <v>19.71</v>
      </c>
      <c r="I85" s="232">
        <f>65967242.82</f>
        <v>65967242.82</v>
      </c>
      <c r="J85" s="232">
        <f>65967242.82</f>
        <v>65967242.82</v>
      </c>
      <c r="K85" s="224">
        <v>532097.4</v>
      </c>
      <c r="L85" s="224">
        <v>4788876.6</v>
      </c>
    </row>
    <row r="86" spans="1:12" ht="24" customHeight="1">
      <c r="A86" s="235" t="s">
        <v>730</v>
      </c>
      <c r="B86" s="236" t="s">
        <v>190</v>
      </c>
      <c r="C86" s="46" t="s">
        <v>663</v>
      </c>
      <c r="D86" s="44"/>
      <c r="G86" s="231"/>
      <c r="H86" s="231"/>
      <c r="I86" s="223"/>
      <c r="J86" s="223"/>
      <c r="K86" s="223"/>
      <c r="L86" s="223"/>
    </row>
    <row r="87" spans="2:12" ht="24" customHeight="1">
      <c r="B87" s="102" t="s">
        <v>169</v>
      </c>
      <c r="C87" s="46" t="s">
        <v>664</v>
      </c>
      <c r="D87" s="44" t="s">
        <v>357</v>
      </c>
      <c r="E87" s="231">
        <v>16500</v>
      </c>
      <c r="F87" s="231">
        <v>16500</v>
      </c>
      <c r="G87" s="223">
        <v>6</v>
      </c>
      <c r="H87" s="223">
        <v>6</v>
      </c>
      <c r="I87" s="223">
        <v>3000000</v>
      </c>
      <c r="J87" s="223">
        <v>3000000</v>
      </c>
      <c r="K87" s="224">
        <v>247500</v>
      </c>
      <c r="L87" s="224">
        <v>198000</v>
      </c>
    </row>
    <row r="88" spans="3:12" ht="24" customHeight="1">
      <c r="C88" s="46"/>
      <c r="D88" s="44"/>
      <c r="E88" s="231"/>
      <c r="F88" s="231"/>
      <c r="G88" s="223"/>
      <c r="H88" s="223"/>
      <c r="I88" s="223"/>
      <c r="J88" s="223"/>
      <c r="K88" s="241"/>
      <c r="L88" s="241"/>
    </row>
    <row r="89" spans="3:12" ht="24" customHeight="1">
      <c r="C89" s="46"/>
      <c r="D89" s="44"/>
      <c r="E89" s="231"/>
      <c r="F89" s="231"/>
      <c r="G89" s="223"/>
      <c r="H89" s="223"/>
      <c r="I89" s="223"/>
      <c r="J89" s="223"/>
      <c r="K89" s="241"/>
      <c r="L89" s="241"/>
    </row>
    <row r="90" spans="1:12" ht="24" customHeight="1">
      <c r="A90" s="46"/>
      <c r="C90" s="46"/>
      <c r="D90" s="44"/>
      <c r="E90" s="231"/>
      <c r="F90" s="231"/>
      <c r="G90" s="223"/>
      <c r="H90" s="223"/>
      <c r="I90" s="223"/>
      <c r="J90" s="223"/>
      <c r="K90" s="233"/>
      <c r="L90" s="233"/>
    </row>
    <row r="91" spans="1:12" ht="24" customHeight="1">
      <c r="A91" s="533" t="s">
        <v>580</v>
      </c>
      <c r="B91" s="533"/>
      <c r="C91" s="533"/>
      <c r="D91" s="533"/>
      <c r="E91" s="533"/>
      <c r="F91" s="533"/>
      <c r="G91" s="533"/>
      <c r="H91" s="533"/>
      <c r="I91" s="533"/>
      <c r="J91" s="533"/>
      <c r="K91" s="533"/>
      <c r="L91" s="533"/>
    </row>
    <row r="92" spans="2:10" ht="24" customHeight="1">
      <c r="B92" s="236"/>
      <c r="C92" s="46"/>
      <c r="D92" s="44"/>
      <c r="E92" s="535"/>
      <c r="F92" s="535"/>
      <c r="G92" s="531"/>
      <c r="H92" s="531"/>
      <c r="I92" s="531"/>
      <c r="J92" s="531"/>
    </row>
    <row r="93" spans="1:12" ht="24" customHeight="1">
      <c r="A93" s="534" t="s">
        <v>532</v>
      </c>
      <c r="C93" s="45"/>
      <c r="D93" s="45"/>
      <c r="E93" s="521"/>
      <c r="F93" s="521"/>
      <c r="G93" s="522"/>
      <c r="H93" s="522"/>
      <c r="I93" s="522"/>
      <c r="J93" s="522"/>
      <c r="K93" s="521"/>
      <c r="L93" s="521"/>
    </row>
    <row r="94" spans="1:12" s="300" customFormat="1" ht="24" customHeight="1">
      <c r="A94" s="523" t="s">
        <v>350</v>
      </c>
      <c r="B94" s="524" t="s">
        <v>113</v>
      </c>
      <c r="C94" s="220" t="s">
        <v>161</v>
      </c>
      <c r="D94" s="220" t="s">
        <v>349</v>
      </c>
      <c r="E94" s="536" t="s">
        <v>772</v>
      </c>
      <c r="F94" s="536"/>
      <c r="G94" s="536" t="s">
        <v>773</v>
      </c>
      <c r="H94" s="536"/>
      <c r="I94" s="536" t="s">
        <v>351</v>
      </c>
      <c r="J94" s="536"/>
      <c r="K94" s="536" t="s">
        <v>352</v>
      </c>
      <c r="L94" s="536"/>
    </row>
    <row r="95" spans="1:12" s="300" customFormat="1" ht="24" customHeight="1">
      <c r="A95" s="525"/>
      <c r="B95" s="526"/>
      <c r="C95" s="527" t="s">
        <v>162</v>
      </c>
      <c r="D95" s="527"/>
      <c r="E95" s="537" t="s">
        <v>354</v>
      </c>
      <c r="F95" s="537"/>
      <c r="G95" s="537" t="s">
        <v>655</v>
      </c>
      <c r="H95" s="537"/>
      <c r="I95" s="537" t="s">
        <v>353</v>
      </c>
      <c r="J95" s="537"/>
      <c r="K95" s="537" t="s">
        <v>353</v>
      </c>
      <c r="L95" s="537"/>
    </row>
    <row r="96" spans="1:12" s="529" customFormat="1" ht="24" customHeight="1">
      <c r="A96" s="528"/>
      <c r="B96" s="110"/>
      <c r="C96" s="34"/>
      <c r="D96" s="35"/>
      <c r="E96" s="221" t="s">
        <v>236</v>
      </c>
      <c r="F96" s="221" t="s">
        <v>141</v>
      </c>
      <c r="G96" s="221" t="s">
        <v>236</v>
      </c>
      <c r="H96" s="221" t="s">
        <v>141</v>
      </c>
      <c r="I96" s="221" t="s">
        <v>236</v>
      </c>
      <c r="J96" s="221" t="s">
        <v>141</v>
      </c>
      <c r="K96" s="221" t="s">
        <v>236</v>
      </c>
      <c r="L96" s="221" t="s">
        <v>141</v>
      </c>
    </row>
    <row r="97" spans="1:4" ht="24" customHeight="1">
      <c r="A97" s="235" t="s">
        <v>731</v>
      </c>
      <c r="B97" s="236" t="s">
        <v>191</v>
      </c>
      <c r="C97" s="46" t="s">
        <v>159</v>
      </c>
      <c r="D97" s="44"/>
    </row>
    <row r="98" spans="1:12" ht="24" customHeight="1">
      <c r="A98" s="46"/>
      <c r="B98" s="102" t="s">
        <v>169</v>
      </c>
      <c r="C98" s="46" t="s">
        <v>160</v>
      </c>
      <c r="D98" s="44" t="s">
        <v>254</v>
      </c>
      <c r="E98" s="231">
        <v>40000</v>
      </c>
      <c r="F98" s="231">
        <v>40000</v>
      </c>
      <c r="G98" s="223">
        <v>10</v>
      </c>
      <c r="H98" s="223">
        <v>10</v>
      </c>
      <c r="I98" s="223">
        <v>4000000</v>
      </c>
      <c r="J98" s="223">
        <v>4000000</v>
      </c>
      <c r="K98" s="224">
        <v>800000</v>
      </c>
      <c r="L98" s="224">
        <v>800000</v>
      </c>
    </row>
    <row r="99" spans="1:12" ht="24" customHeight="1">
      <c r="A99" s="235" t="s">
        <v>732</v>
      </c>
      <c r="B99" s="236" t="s">
        <v>411</v>
      </c>
      <c r="C99" s="46" t="s">
        <v>1131</v>
      </c>
      <c r="D99" s="44" t="s">
        <v>725</v>
      </c>
      <c r="E99" s="231">
        <v>1420000</v>
      </c>
      <c r="F99" s="231">
        <v>1420000</v>
      </c>
      <c r="G99" s="223">
        <v>0.77</v>
      </c>
      <c r="H99" s="223">
        <v>0.77</v>
      </c>
      <c r="I99" s="223">
        <v>11000000</v>
      </c>
      <c r="J99" s="223">
        <v>11000000</v>
      </c>
      <c r="K99" s="224" t="s">
        <v>692</v>
      </c>
      <c r="L99" s="224" t="s">
        <v>692</v>
      </c>
    </row>
    <row r="100" spans="1:4" ht="24" customHeight="1">
      <c r="A100" s="235" t="s">
        <v>733</v>
      </c>
      <c r="B100" s="236" t="s">
        <v>192</v>
      </c>
      <c r="C100" s="46" t="s">
        <v>197</v>
      </c>
      <c r="D100" s="44"/>
    </row>
    <row r="101" spans="2:12" ht="24" customHeight="1">
      <c r="B101" s="102" t="s">
        <v>169</v>
      </c>
      <c r="C101" s="46" t="s">
        <v>665</v>
      </c>
      <c r="D101" s="44" t="s">
        <v>367</v>
      </c>
      <c r="E101" s="231">
        <v>60000</v>
      </c>
      <c r="F101" s="231">
        <v>60000</v>
      </c>
      <c r="G101" s="223">
        <v>5</v>
      </c>
      <c r="H101" s="223">
        <v>5</v>
      </c>
      <c r="I101" s="223">
        <v>3000000</v>
      </c>
      <c r="J101" s="223">
        <v>3000000</v>
      </c>
      <c r="K101" s="224" t="s">
        <v>692</v>
      </c>
      <c r="L101" s="224" t="s">
        <v>692</v>
      </c>
    </row>
    <row r="102" spans="1:12" s="540" customFormat="1" ht="24" customHeight="1">
      <c r="A102" s="235" t="s">
        <v>734</v>
      </c>
      <c r="B102" s="236" t="s">
        <v>107</v>
      </c>
      <c r="C102" s="46" t="s">
        <v>666</v>
      </c>
      <c r="D102" s="539"/>
      <c r="E102" s="239"/>
      <c r="F102" s="239"/>
      <c r="G102" s="240"/>
      <c r="H102" s="240"/>
      <c r="I102" s="240"/>
      <c r="J102" s="240"/>
      <c r="K102" s="240"/>
      <c r="L102" s="240"/>
    </row>
    <row r="103" spans="3:12" ht="24" customHeight="1">
      <c r="C103" s="46" t="s">
        <v>1134</v>
      </c>
      <c r="D103" s="44" t="s">
        <v>254</v>
      </c>
      <c r="E103" s="231">
        <v>100000</v>
      </c>
      <c r="F103" s="231">
        <v>100000</v>
      </c>
      <c r="G103" s="223">
        <v>12.8</v>
      </c>
      <c r="H103" s="223">
        <v>12.8</v>
      </c>
      <c r="I103" s="223">
        <v>14528000</v>
      </c>
      <c r="J103" s="223">
        <v>14528000</v>
      </c>
      <c r="K103" s="241">
        <v>384000</v>
      </c>
      <c r="L103" s="241">
        <v>3200000</v>
      </c>
    </row>
    <row r="104" spans="1:12" ht="24" customHeight="1">
      <c r="A104" s="235" t="s">
        <v>735</v>
      </c>
      <c r="B104" s="236" t="s">
        <v>199</v>
      </c>
      <c r="D104" s="44"/>
      <c r="G104" s="231"/>
      <c r="H104" s="231"/>
      <c r="I104" s="223"/>
      <c r="J104" s="223"/>
      <c r="K104" s="223"/>
      <c r="L104" s="223"/>
    </row>
    <row r="105" spans="1:13" ht="24" customHeight="1">
      <c r="A105" s="46"/>
      <c r="B105" s="102" t="s">
        <v>169</v>
      </c>
      <c r="C105" s="46" t="s">
        <v>198</v>
      </c>
      <c r="D105" s="44" t="s">
        <v>725</v>
      </c>
      <c r="E105" s="231">
        <v>105000</v>
      </c>
      <c r="F105" s="231">
        <v>105000</v>
      </c>
      <c r="G105" s="223">
        <v>6.25</v>
      </c>
      <c r="H105" s="223">
        <v>6.25</v>
      </c>
      <c r="I105" s="223">
        <v>7500000</v>
      </c>
      <c r="J105" s="223">
        <v>7500000</v>
      </c>
      <c r="K105" s="463" t="s">
        <v>653</v>
      </c>
      <c r="L105" s="463" t="s">
        <v>653</v>
      </c>
      <c r="M105" s="224"/>
    </row>
    <row r="106" spans="1:4" ht="24" customHeight="1">
      <c r="A106" s="235" t="s">
        <v>737</v>
      </c>
      <c r="B106" s="102" t="s">
        <v>1132</v>
      </c>
      <c r="C106" s="46"/>
      <c r="D106" s="44"/>
    </row>
    <row r="107" spans="2:4" ht="24" customHeight="1">
      <c r="B107" s="236" t="s">
        <v>253</v>
      </c>
      <c r="C107" s="46" t="s">
        <v>527</v>
      </c>
      <c r="D107" s="44"/>
    </row>
    <row r="108" spans="1:12" ht="24" customHeight="1">
      <c r="A108" s="46"/>
      <c r="B108" s="102" t="s">
        <v>768</v>
      </c>
      <c r="C108" s="46" t="s">
        <v>672</v>
      </c>
      <c r="D108" s="44" t="s">
        <v>255</v>
      </c>
      <c r="E108" s="231">
        <v>604500</v>
      </c>
      <c r="F108" s="231">
        <v>519000</v>
      </c>
      <c r="G108" s="243">
        <v>15.26</v>
      </c>
      <c r="H108" s="243">
        <v>10.54</v>
      </c>
      <c r="I108" s="223">
        <v>57918551</v>
      </c>
      <c r="J108" s="223">
        <v>57918550</v>
      </c>
      <c r="K108" s="224" t="s">
        <v>692</v>
      </c>
      <c r="L108" s="224" t="s">
        <v>692</v>
      </c>
    </row>
    <row r="109" spans="1:12" ht="24" customHeight="1">
      <c r="A109" s="235" t="s">
        <v>738</v>
      </c>
      <c r="B109" s="236" t="s">
        <v>412</v>
      </c>
      <c r="C109" s="46" t="s">
        <v>667</v>
      </c>
      <c r="D109" s="44" t="s">
        <v>254</v>
      </c>
      <c r="E109" s="231">
        <v>200000</v>
      </c>
      <c r="F109" s="231">
        <v>200000</v>
      </c>
      <c r="G109" s="223">
        <v>4</v>
      </c>
      <c r="H109" s="223">
        <v>4</v>
      </c>
      <c r="I109" s="223">
        <v>8000000</v>
      </c>
      <c r="J109" s="223">
        <v>8000000</v>
      </c>
      <c r="K109" s="224" t="s">
        <v>692</v>
      </c>
      <c r="L109" s="224" t="s">
        <v>692</v>
      </c>
    </row>
    <row r="110" spans="1:4" ht="24" customHeight="1">
      <c r="A110" s="235" t="s">
        <v>739</v>
      </c>
      <c r="B110" s="236" t="s">
        <v>413</v>
      </c>
      <c r="C110" s="46" t="s">
        <v>200</v>
      </c>
      <c r="D110" s="44"/>
    </row>
    <row r="111" spans="1:4" ht="24" customHeight="1">
      <c r="A111" s="46"/>
      <c r="B111" s="236"/>
      <c r="C111" s="46" t="s">
        <v>201</v>
      </c>
      <c r="D111" s="44"/>
    </row>
    <row r="112" spans="1:12" ht="24" customHeight="1">
      <c r="A112" s="46"/>
      <c r="C112" s="46" t="s">
        <v>202</v>
      </c>
      <c r="D112" s="44" t="s">
        <v>357</v>
      </c>
      <c r="E112" s="231">
        <v>50000</v>
      </c>
      <c r="F112" s="231">
        <v>50000</v>
      </c>
      <c r="G112" s="223">
        <v>10</v>
      </c>
      <c r="H112" s="223">
        <v>10</v>
      </c>
      <c r="I112" s="223">
        <v>5000000</v>
      </c>
      <c r="J112" s="223">
        <v>5000000</v>
      </c>
      <c r="K112" s="224" t="s">
        <v>692</v>
      </c>
      <c r="L112" s="224" t="s">
        <v>692</v>
      </c>
    </row>
    <row r="113" spans="1:12" ht="24" customHeight="1">
      <c r="A113" s="235" t="s">
        <v>740</v>
      </c>
      <c r="B113" s="236" t="s">
        <v>203</v>
      </c>
      <c r="C113" s="46"/>
      <c r="D113" s="44"/>
      <c r="E113" s="233"/>
      <c r="F113" s="233"/>
      <c r="G113" s="227"/>
      <c r="H113" s="227"/>
      <c r="I113" s="223"/>
      <c r="J113" s="223"/>
      <c r="K113" s="223"/>
      <c r="L113" s="223"/>
    </row>
    <row r="114" spans="1:12" ht="24" customHeight="1">
      <c r="A114" s="46"/>
      <c r="B114" s="102" t="s">
        <v>169</v>
      </c>
      <c r="C114" s="46" t="s">
        <v>204</v>
      </c>
      <c r="D114" s="44" t="s">
        <v>254</v>
      </c>
      <c r="E114" s="231">
        <v>500000</v>
      </c>
      <c r="F114" s="231">
        <v>500000</v>
      </c>
      <c r="G114" s="223">
        <v>18</v>
      </c>
      <c r="H114" s="223">
        <v>18</v>
      </c>
      <c r="I114" s="223">
        <v>86444990</v>
      </c>
      <c r="J114" s="223">
        <v>86444990</v>
      </c>
      <c r="K114" s="463" t="s">
        <v>653</v>
      </c>
      <c r="L114" s="463" t="s">
        <v>653</v>
      </c>
    </row>
    <row r="115" spans="1:13" ht="24" customHeight="1">
      <c r="A115" s="235" t="s">
        <v>741</v>
      </c>
      <c r="B115" s="236" t="s">
        <v>786</v>
      </c>
      <c r="C115" s="46" t="s">
        <v>205</v>
      </c>
      <c r="D115" s="44"/>
      <c r="M115" s="244"/>
    </row>
    <row r="116" spans="2:12" ht="24" customHeight="1">
      <c r="B116" s="102" t="s">
        <v>169</v>
      </c>
      <c r="C116" s="46" t="s">
        <v>289</v>
      </c>
      <c r="D116" s="44" t="s">
        <v>511</v>
      </c>
      <c r="E116" s="222">
        <v>12000</v>
      </c>
      <c r="F116" s="222">
        <v>12000</v>
      </c>
      <c r="G116" s="223">
        <v>4.75</v>
      </c>
      <c r="H116" s="223">
        <v>4.75</v>
      </c>
      <c r="I116" s="223">
        <v>570000</v>
      </c>
      <c r="J116" s="223">
        <v>570000</v>
      </c>
      <c r="K116" s="233" t="s">
        <v>653</v>
      </c>
      <c r="L116" s="233" t="s">
        <v>653</v>
      </c>
    </row>
    <row r="117" spans="1:13" ht="24" customHeight="1">
      <c r="A117" s="235" t="s">
        <v>742</v>
      </c>
      <c r="B117" s="236" t="s">
        <v>736</v>
      </c>
      <c r="C117" s="46" t="s">
        <v>1133</v>
      </c>
      <c r="M117" s="244"/>
    </row>
    <row r="118" spans="1:12" ht="24" customHeight="1">
      <c r="A118" s="46"/>
      <c r="B118" s="102" t="s">
        <v>169</v>
      </c>
      <c r="C118" s="44" t="s">
        <v>284</v>
      </c>
      <c r="D118" s="44" t="s">
        <v>74</v>
      </c>
      <c r="E118" s="245">
        <v>260000</v>
      </c>
      <c r="F118" s="245">
        <v>200000</v>
      </c>
      <c r="G118" s="223">
        <v>10</v>
      </c>
      <c r="H118" s="223">
        <v>10</v>
      </c>
      <c r="I118" s="223">
        <v>26000000</v>
      </c>
      <c r="J118" s="223">
        <v>26000000</v>
      </c>
      <c r="K118" s="233">
        <v>780000</v>
      </c>
      <c r="L118" s="233" t="s">
        <v>653</v>
      </c>
    </row>
    <row r="119" spans="1:13" ht="24" customHeight="1">
      <c r="A119" s="235" t="s">
        <v>743</v>
      </c>
      <c r="B119" s="236" t="s">
        <v>290</v>
      </c>
      <c r="C119" s="46"/>
      <c r="D119" s="535"/>
      <c r="M119" s="244"/>
    </row>
    <row r="120" spans="2:12" ht="24" customHeight="1">
      <c r="B120" s="102" t="s">
        <v>169</v>
      </c>
      <c r="C120" s="44" t="s">
        <v>383</v>
      </c>
      <c r="D120" s="44" t="s">
        <v>255</v>
      </c>
      <c r="E120" s="245">
        <f>200000-21000</f>
        <v>179000</v>
      </c>
      <c r="F120" s="245">
        <f>200000-21000</f>
        <v>179000</v>
      </c>
      <c r="G120" s="223">
        <v>4.45</v>
      </c>
      <c r="H120" s="223">
        <v>4.45</v>
      </c>
      <c r="I120" s="223">
        <f>8750000-787500</f>
        <v>7962500</v>
      </c>
      <c r="J120" s="223">
        <f>8750000-787500</f>
        <v>7962500</v>
      </c>
      <c r="K120" s="242" t="s">
        <v>653</v>
      </c>
      <c r="L120" s="242" t="s">
        <v>653</v>
      </c>
    </row>
    <row r="121" spans="1:13" ht="24" customHeight="1">
      <c r="A121" s="235" t="s">
        <v>744</v>
      </c>
      <c r="B121" s="236" t="s">
        <v>326</v>
      </c>
      <c r="C121" s="44"/>
      <c r="M121" s="244"/>
    </row>
    <row r="122" spans="1:12" ht="24" customHeight="1">
      <c r="A122" s="46"/>
      <c r="B122" s="236" t="s">
        <v>318</v>
      </c>
      <c r="C122" s="44" t="s">
        <v>356</v>
      </c>
      <c r="D122" s="44" t="s">
        <v>245</v>
      </c>
      <c r="E122" s="245">
        <v>25000</v>
      </c>
      <c r="F122" s="245">
        <v>25000</v>
      </c>
      <c r="G122" s="223">
        <v>12</v>
      </c>
      <c r="H122" s="223">
        <v>12</v>
      </c>
      <c r="I122" s="223">
        <v>3000000</v>
      </c>
      <c r="J122" s="223">
        <v>3000000</v>
      </c>
      <c r="K122" s="242" t="s">
        <v>653</v>
      </c>
      <c r="L122" s="242" t="s">
        <v>653</v>
      </c>
    </row>
    <row r="123" spans="1:13" ht="24" customHeight="1">
      <c r="A123" s="235" t="s">
        <v>745</v>
      </c>
      <c r="B123" s="236" t="s">
        <v>327</v>
      </c>
      <c r="C123" s="236" t="s">
        <v>687</v>
      </c>
      <c r="M123" s="246"/>
    </row>
    <row r="124" spans="1:13" ht="24" customHeight="1">
      <c r="A124" s="46"/>
      <c r="B124" s="236" t="s">
        <v>328</v>
      </c>
      <c r="C124" s="541" t="s">
        <v>282</v>
      </c>
      <c r="D124" s="44" t="s">
        <v>367</v>
      </c>
      <c r="E124" s="247">
        <v>80000</v>
      </c>
      <c r="F124" s="247">
        <v>80000</v>
      </c>
      <c r="G124" s="248">
        <v>16.33</v>
      </c>
      <c r="H124" s="248">
        <v>16.33</v>
      </c>
      <c r="I124" s="248">
        <f>13066600</f>
        <v>13066600</v>
      </c>
      <c r="J124" s="248">
        <f>13066600</f>
        <v>13066600</v>
      </c>
      <c r="K124" s="249" t="s">
        <v>653</v>
      </c>
      <c r="L124" s="249" t="s">
        <v>653</v>
      </c>
      <c r="M124" s="244"/>
    </row>
    <row r="125" spans="1:13" ht="24" customHeight="1">
      <c r="A125" s="235" t="s">
        <v>753</v>
      </c>
      <c r="B125" s="236" t="s">
        <v>329</v>
      </c>
      <c r="C125" s="44"/>
      <c r="M125" s="244"/>
    </row>
    <row r="126" spans="1:13" ht="24" customHeight="1">
      <c r="A126" s="46"/>
      <c r="B126" s="236" t="s">
        <v>331</v>
      </c>
      <c r="C126" s="44" t="s">
        <v>678</v>
      </c>
      <c r="D126" s="44" t="s">
        <v>371</v>
      </c>
      <c r="E126" s="245">
        <v>1350000</v>
      </c>
      <c r="F126" s="245">
        <v>1350000</v>
      </c>
      <c r="G126" s="223">
        <v>6</v>
      </c>
      <c r="H126" s="223">
        <v>6</v>
      </c>
      <c r="I126" s="223">
        <v>81000000</v>
      </c>
      <c r="J126" s="223">
        <v>81000000</v>
      </c>
      <c r="K126" s="238">
        <v>6388022.61</v>
      </c>
      <c r="L126" s="238">
        <v>7872614.16</v>
      </c>
      <c r="M126" s="244"/>
    </row>
    <row r="127" spans="1:13" ht="24" customHeight="1">
      <c r="A127" s="235" t="s">
        <v>756</v>
      </c>
      <c r="B127" s="236" t="s">
        <v>111</v>
      </c>
      <c r="C127" s="44" t="s">
        <v>177</v>
      </c>
      <c r="D127" s="44" t="s">
        <v>367</v>
      </c>
      <c r="E127" s="245">
        <v>50000</v>
      </c>
      <c r="F127" s="245">
        <v>50000</v>
      </c>
      <c r="G127" s="223">
        <v>10</v>
      </c>
      <c r="H127" s="223">
        <v>10</v>
      </c>
      <c r="I127" s="223">
        <v>5000000</v>
      </c>
      <c r="J127" s="223">
        <v>5000000</v>
      </c>
      <c r="K127" s="242" t="s">
        <v>653</v>
      </c>
      <c r="L127" s="242" t="s">
        <v>653</v>
      </c>
      <c r="M127" s="244"/>
    </row>
    <row r="128" spans="1:13" ht="24" customHeight="1">
      <c r="A128" s="235" t="s">
        <v>770</v>
      </c>
      <c r="B128" s="236" t="s">
        <v>109</v>
      </c>
      <c r="C128" s="44" t="s">
        <v>677</v>
      </c>
      <c r="M128" s="244"/>
    </row>
    <row r="129" spans="1:13" ht="24" customHeight="1">
      <c r="A129" s="46"/>
      <c r="B129" s="236" t="s">
        <v>318</v>
      </c>
      <c r="C129" s="44" t="s">
        <v>108</v>
      </c>
      <c r="D129" s="44" t="s">
        <v>246</v>
      </c>
      <c r="E129" s="245">
        <v>70000</v>
      </c>
      <c r="F129" s="245">
        <v>70000</v>
      </c>
      <c r="G129" s="223">
        <v>15</v>
      </c>
      <c r="H129" s="223">
        <v>15</v>
      </c>
      <c r="I129" s="223">
        <v>10500000</v>
      </c>
      <c r="J129" s="223">
        <v>10500000</v>
      </c>
      <c r="K129" s="232">
        <v>658350</v>
      </c>
      <c r="L129" s="232">
        <v>705600</v>
      </c>
      <c r="M129" s="244"/>
    </row>
    <row r="130" spans="1:13" ht="24" customHeight="1">
      <c r="A130" s="235" t="s">
        <v>1107</v>
      </c>
      <c r="B130" s="236" t="s">
        <v>679</v>
      </c>
      <c r="M130" s="244"/>
    </row>
    <row r="131" spans="1:12" ht="24" customHeight="1">
      <c r="A131" s="46"/>
      <c r="B131" s="236" t="s">
        <v>311</v>
      </c>
      <c r="C131" s="44" t="s">
        <v>320</v>
      </c>
      <c r="D131" s="44" t="s">
        <v>252</v>
      </c>
      <c r="E131" s="245">
        <v>25000</v>
      </c>
      <c r="F131" s="245">
        <v>25000</v>
      </c>
      <c r="G131" s="223">
        <v>8</v>
      </c>
      <c r="H131" s="223">
        <v>8</v>
      </c>
      <c r="I131" s="223">
        <v>2000000</v>
      </c>
      <c r="J131" s="223">
        <v>2000000</v>
      </c>
      <c r="K131" s="233" t="s">
        <v>653</v>
      </c>
      <c r="L131" s="233" t="s">
        <v>653</v>
      </c>
    </row>
    <row r="132" spans="1:13" ht="24" customHeight="1">
      <c r="A132" s="235" t="s">
        <v>1108</v>
      </c>
      <c r="B132" s="236" t="s">
        <v>787</v>
      </c>
      <c r="C132" s="44" t="s">
        <v>680</v>
      </c>
      <c r="D132" s="44" t="s">
        <v>367</v>
      </c>
      <c r="E132" s="245">
        <v>50000</v>
      </c>
      <c r="F132" s="245">
        <v>50000</v>
      </c>
      <c r="G132" s="223">
        <v>19.5</v>
      </c>
      <c r="H132" s="223">
        <v>19.5</v>
      </c>
      <c r="I132" s="223">
        <f>9750000</f>
        <v>9750000</v>
      </c>
      <c r="J132" s="223">
        <f>9750000</f>
        <v>9750000</v>
      </c>
      <c r="K132" s="233" t="s">
        <v>653</v>
      </c>
      <c r="L132" s="233" t="s">
        <v>653</v>
      </c>
      <c r="M132" s="244"/>
    </row>
    <row r="133" spans="1:13" ht="24" customHeight="1">
      <c r="A133" s="235" t="s">
        <v>463</v>
      </c>
      <c r="B133" s="236" t="s">
        <v>751</v>
      </c>
      <c r="C133" s="44" t="s">
        <v>752</v>
      </c>
      <c r="D133" s="44" t="s">
        <v>367</v>
      </c>
      <c r="E133" s="245">
        <v>25000</v>
      </c>
      <c r="F133" s="245">
        <v>25000</v>
      </c>
      <c r="G133" s="223">
        <v>15</v>
      </c>
      <c r="H133" s="223">
        <v>15</v>
      </c>
      <c r="I133" s="223">
        <v>3750000</v>
      </c>
      <c r="J133" s="223">
        <v>3750000</v>
      </c>
      <c r="K133" s="233" t="s">
        <v>653</v>
      </c>
      <c r="L133" s="233" t="s">
        <v>653</v>
      </c>
      <c r="M133" s="244"/>
    </row>
    <row r="134" spans="1:13" ht="24" customHeight="1">
      <c r="A134" s="244"/>
      <c r="B134" s="229"/>
      <c r="C134" s="233"/>
      <c r="D134" s="242"/>
      <c r="E134" s="245"/>
      <c r="F134" s="245"/>
      <c r="G134" s="223"/>
      <c r="H134" s="223"/>
      <c r="I134" s="223"/>
      <c r="J134" s="223"/>
      <c r="K134" s="233"/>
      <c r="L134" s="233"/>
      <c r="M134" s="244"/>
    </row>
    <row r="135" spans="1:13" ht="24" customHeight="1">
      <c r="A135" s="244"/>
      <c r="B135" s="229"/>
      <c r="C135" s="233"/>
      <c r="D135" s="242"/>
      <c r="E135" s="245"/>
      <c r="F135" s="245"/>
      <c r="G135" s="223"/>
      <c r="H135" s="223"/>
      <c r="I135" s="223"/>
      <c r="J135" s="223"/>
      <c r="K135" s="233"/>
      <c r="L135" s="233"/>
      <c r="M135" s="244"/>
    </row>
    <row r="136" spans="1:12" ht="21.75" customHeight="1">
      <c r="A136" s="533" t="s">
        <v>1080</v>
      </c>
      <c r="B136" s="533"/>
      <c r="C136" s="533"/>
      <c r="D136" s="533"/>
      <c r="E136" s="533"/>
      <c r="F136" s="533"/>
      <c r="G136" s="533"/>
      <c r="H136" s="533"/>
      <c r="I136" s="533"/>
      <c r="J136" s="533"/>
      <c r="K136" s="533"/>
      <c r="L136" s="533"/>
    </row>
    <row r="137" spans="2:10" ht="22.5" customHeight="1">
      <c r="B137" s="236"/>
      <c r="C137" s="46"/>
      <c r="D137" s="44"/>
      <c r="E137" s="535"/>
      <c r="F137" s="535"/>
      <c r="G137" s="531"/>
      <c r="H137" s="531"/>
      <c r="I137" s="531"/>
      <c r="J137" s="531"/>
    </row>
    <row r="138" spans="1:12" ht="22.5" customHeight="1">
      <c r="A138" s="534" t="s">
        <v>532</v>
      </c>
      <c r="C138" s="45"/>
      <c r="D138" s="45"/>
      <c r="E138" s="521"/>
      <c r="F138" s="521"/>
      <c r="G138" s="522"/>
      <c r="H138" s="522"/>
      <c r="I138" s="522"/>
      <c r="J138" s="522"/>
      <c r="K138" s="521"/>
      <c r="L138" s="521"/>
    </row>
    <row r="139" spans="1:12" s="300" customFormat="1" ht="22.5" customHeight="1">
      <c r="A139" s="523" t="s">
        <v>350</v>
      </c>
      <c r="B139" s="524" t="s">
        <v>113</v>
      </c>
      <c r="C139" s="220" t="s">
        <v>161</v>
      </c>
      <c r="D139" s="220" t="s">
        <v>349</v>
      </c>
      <c r="E139" s="536" t="s">
        <v>772</v>
      </c>
      <c r="F139" s="536"/>
      <c r="G139" s="536" t="s">
        <v>773</v>
      </c>
      <c r="H139" s="536"/>
      <c r="I139" s="536" t="s">
        <v>351</v>
      </c>
      <c r="J139" s="536"/>
      <c r="K139" s="536" t="s">
        <v>352</v>
      </c>
      <c r="L139" s="536"/>
    </row>
    <row r="140" spans="1:12" s="300" customFormat="1" ht="22.5" customHeight="1">
      <c r="A140" s="525"/>
      <c r="B140" s="526"/>
      <c r="C140" s="527" t="s">
        <v>162</v>
      </c>
      <c r="D140" s="527"/>
      <c r="E140" s="537" t="s">
        <v>354</v>
      </c>
      <c r="F140" s="537"/>
      <c r="G140" s="537" t="s">
        <v>655</v>
      </c>
      <c r="H140" s="537"/>
      <c r="I140" s="537" t="s">
        <v>353</v>
      </c>
      <c r="J140" s="537"/>
      <c r="K140" s="537" t="s">
        <v>353</v>
      </c>
      <c r="L140" s="537"/>
    </row>
    <row r="141" spans="1:12" s="529" customFormat="1" ht="22.5" customHeight="1">
      <c r="A141" s="528"/>
      <c r="B141" s="110"/>
      <c r="C141" s="34"/>
      <c r="D141" s="35"/>
      <c r="E141" s="221" t="s">
        <v>236</v>
      </c>
      <c r="F141" s="221" t="s">
        <v>141</v>
      </c>
      <c r="G141" s="221" t="s">
        <v>236</v>
      </c>
      <c r="H141" s="221" t="s">
        <v>141</v>
      </c>
      <c r="I141" s="221" t="s">
        <v>236</v>
      </c>
      <c r="J141" s="221" t="s">
        <v>141</v>
      </c>
      <c r="K141" s="221" t="s">
        <v>236</v>
      </c>
      <c r="L141" s="221" t="s">
        <v>141</v>
      </c>
    </row>
    <row r="142" spans="1:13" ht="24" customHeight="1">
      <c r="A142" s="235" t="s">
        <v>464</v>
      </c>
      <c r="B142" s="236" t="s">
        <v>754</v>
      </c>
      <c r="C142" s="44" t="s">
        <v>755</v>
      </c>
      <c r="D142" s="44"/>
      <c r="E142" s="245"/>
      <c r="F142" s="245"/>
      <c r="G142" s="223"/>
      <c r="H142" s="223"/>
      <c r="I142" s="223"/>
      <c r="J142" s="223"/>
      <c r="K142" s="233"/>
      <c r="L142" s="233"/>
      <c r="M142" s="244"/>
    </row>
    <row r="143" spans="2:12" ht="24" customHeight="1">
      <c r="B143" s="236" t="s">
        <v>311</v>
      </c>
      <c r="C143" s="44"/>
      <c r="D143" s="44" t="s">
        <v>543</v>
      </c>
      <c r="E143" s="245">
        <v>47000</v>
      </c>
      <c r="F143" s="245">
        <v>47000</v>
      </c>
      <c r="G143" s="223">
        <v>10.64</v>
      </c>
      <c r="H143" s="223">
        <v>10.64</v>
      </c>
      <c r="I143" s="223">
        <f>5000000</f>
        <v>5000000</v>
      </c>
      <c r="J143" s="223">
        <f>5000000</f>
        <v>5000000</v>
      </c>
      <c r="K143" s="233" t="s">
        <v>653</v>
      </c>
      <c r="L143" s="233" t="s">
        <v>653</v>
      </c>
    </row>
    <row r="144" spans="1:13" ht="24" customHeight="1">
      <c r="A144" s="235" t="s">
        <v>465</v>
      </c>
      <c r="B144" s="236" t="s">
        <v>757</v>
      </c>
      <c r="C144" s="44"/>
      <c r="D144" s="44"/>
      <c r="E144" s="245"/>
      <c r="F144" s="245"/>
      <c r="G144" s="223"/>
      <c r="H144" s="223"/>
      <c r="I144" s="223"/>
      <c r="J144" s="223"/>
      <c r="K144" s="233"/>
      <c r="L144" s="233"/>
      <c r="M144" s="244"/>
    </row>
    <row r="145" spans="2:12" ht="24" customHeight="1">
      <c r="B145" s="102" t="s">
        <v>758</v>
      </c>
      <c r="C145" s="44" t="s">
        <v>759</v>
      </c>
      <c r="D145" s="44" t="s">
        <v>544</v>
      </c>
      <c r="E145" s="245">
        <v>30000</v>
      </c>
      <c r="F145" s="245">
        <v>30000</v>
      </c>
      <c r="G145" s="223">
        <v>10</v>
      </c>
      <c r="H145" s="223">
        <v>10</v>
      </c>
      <c r="I145" s="223">
        <f>3500000-500000</f>
        <v>3000000</v>
      </c>
      <c r="J145" s="223">
        <f>3500000-500000</f>
        <v>3000000</v>
      </c>
      <c r="K145" s="233" t="s">
        <v>653</v>
      </c>
      <c r="L145" s="233" t="s">
        <v>653</v>
      </c>
    </row>
    <row r="146" spans="1:13" ht="24" customHeight="1">
      <c r="A146" s="235" t="s">
        <v>1194</v>
      </c>
      <c r="B146" s="102" t="s">
        <v>760</v>
      </c>
      <c r="C146" s="44" t="s">
        <v>761</v>
      </c>
      <c r="D146" s="44"/>
      <c r="M146" s="244"/>
    </row>
    <row r="147" spans="1:13" ht="24" customHeight="1">
      <c r="A147" s="46"/>
      <c r="B147" s="102" t="s">
        <v>318</v>
      </c>
      <c r="C147" s="44" t="s">
        <v>762</v>
      </c>
      <c r="D147" s="44" t="s">
        <v>544</v>
      </c>
      <c r="E147" s="245">
        <v>72500</v>
      </c>
      <c r="F147" s="245">
        <v>50000</v>
      </c>
      <c r="G147" s="223">
        <v>10.34</v>
      </c>
      <c r="H147" s="223">
        <v>15</v>
      </c>
      <c r="I147" s="223">
        <v>7500000</v>
      </c>
      <c r="J147" s="223">
        <v>7500000</v>
      </c>
      <c r="K147" s="233" t="s">
        <v>653</v>
      </c>
      <c r="L147" s="233" t="s">
        <v>653</v>
      </c>
      <c r="M147" s="244"/>
    </row>
    <row r="148" spans="1:13" ht="24" customHeight="1">
      <c r="A148" s="235" t="s">
        <v>1195</v>
      </c>
      <c r="B148" s="102" t="s">
        <v>528</v>
      </c>
      <c r="C148" s="44"/>
      <c r="D148" s="44"/>
      <c r="E148" s="242"/>
      <c r="F148" s="242"/>
      <c r="G148" s="229"/>
      <c r="H148" s="229"/>
      <c r="M148" s="244"/>
    </row>
    <row r="149" spans="1:13" ht="24" customHeight="1">
      <c r="A149" s="235"/>
      <c r="B149" s="102" t="s">
        <v>529</v>
      </c>
      <c r="C149" s="44" t="s">
        <v>397</v>
      </c>
      <c r="D149" s="44" t="s">
        <v>246</v>
      </c>
      <c r="E149" s="245">
        <v>100000</v>
      </c>
      <c r="F149" s="245">
        <v>100000</v>
      </c>
      <c r="G149" s="223">
        <v>10</v>
      </c>
      <c r="H149" s="223">
        <v>10</v>
      </c>
      <c r="I149" s="223">
        <v>10000000</v>
      </c>
      <c r="J149" s="223">
        <v>10000000</v>
      </c>
      <c r="K149" s="233" t="s">
        <v>653</v>
      </c>
      <c r="L149" s="233" t="s">
        <v>653</v>
      </c>
      <c r="M149" s="244"/>
    </row>
    <row r="150" spans="1:13" ht="24" customHeight="1">
      <c r="A150" s="244">
        <v>64</v>
      </c>
      <c r="B150" s="229" t="s">
        <v>788</v>
      </c>
      <c r="C150" s="233" t="s">
        <v>669</v>
      </c>
      <c r="D150" s="242" t="s">
        <v>789</v>
      </c>
      <c r="E150" s="245">
        <v>181832</v>
      </c>
      <c r="F150" s="245">
        <v>181832</v>
      </c>
      <c r="G150" s="223">
        <v>15.18</v>
      </c>
      <c r="H150" s="223">
        <v>13</v>
      </c>
      <c r="I150" s="223">
        <v>63853562.91</v>
      </c>
      <c r="J150" s="223">
        <f>9427262.91+42548100</f>
        <v>51975362.91</v>
      </c>
      <c r="K150" s="233" t="s">
        <v>653</v>
      </c>
      <c r="L150" s="233" t="s">
        <v>653</v>
      </c>
      <c r="M150" s="244"/>
    </row>
    <row r="151" spans="1:13" ht="22.5" customHeight="1">
      <c r="A151" s="244">
        <v>65</v>
      </c>
      <c r="B151" s="86" t="s">
        <v>3</v>
      </c>
      <c r="C151" s="94" t="s">
        <v>387</v>
      </c>
      <c r="D151" s="242" t="s">
        <v>255</v>
      </c>
      <c r="E151" s="245">
        <v>40000</v>
      </c>
      <c r="F151" s="542" t="s">
        <v>692</v>
      </c>
      <c r="G151" s="223">
        <v>18</v>
      </c>
      <c r="H151" s="542" t="s">
        <v>692</v>
      </c>
      <c r="I151" s="223">
        <v>7200000</v>
      </c>
      <c r="J151" s="542" t="s">
        <v>692</v>
      </c>
      <c r="K151" s="542" t="s">
        <v>692</v>
      </c>
      <c r="L151" s="542" t="s">
        <v>692</v>
      </c>
      <c r="M151" s="244"/>
    </row>
    <row r="152" spans="1:12" s="229" customFormat="1" ht="23.25" customHeight="1">
      <c r="A152" s="244">
        <v>66</v>
      </c>
      <c r="B152" s="98" t="s">
        <v>41</v>
      </c>
      <c r="C152" s="263" t="s">
        <v>1135</v>
      </c>
      <c r="D152" s="242"/>
      <c r="E152" s="245"/>
      <c r="F152" s="224"/>
      <c r="G152" s="223"/>
      <c r="H152" s="233"/>
      <c r="I152" s="223"/>
      <c r="J152" s="542"/>
      <c r="K152" s="542"/>
      <c r="L152" s="233"/>
    </row>
    <row r="153" spans="1:12" s="229" customFormat="1" ht="23.25" customHeight="1">
      <c r="A153" s="244"/>
      <c r="B153" s="300" t="s">
        <v>169</v>
      </c>
      <c r="C153" s="263" t="s">
        <v>1136</v>
      </c>
      <c r="D153" s="242" t="s">
        <v>252</v>
      </c>
      <c r="E153" s="245">
        <v>125000</v>
      </c>
      <c r="F153" s="245">
        <v>125000</v>
      </c>
      <c r="G153" s="223">
        <v>19.5</v>
      </c>
      <c r="H153" s="223">
        <v>19.5</v>
      </c>
      <c r="I153" s="223">
        <v>24375000</v>
      </c>
      <c r="J153" s="223">
        <v>24375000</v>
      </c>
      <c r="K153" s="542" t="s">
        <v>692</v>
      </c>
      <c r="L153" s="233" t="s">
        <v>653</v>
      </c>
    </row>
    <row r="154" spans="1:12" s="229" customFormat="1" ht="23.25" customHeight="1">
      <c r="A154" s="244">
        <v>67</v>
      </c>
      <c r="B154" s="98" t="s">
        <v>44</v>
      </c>
      <c r="C154" s="263" t="s">
        <v>166</v>
      </c>
      <c r="D154" s="242" t="s">
        <v>382</v>
      </c>
      <c r="E154" s="245">
        <v>30000</v>
      </c>
      <c r="F154" s="245">
        <v>30000</v>
      </c>
      <c r="G154" s="223">
        <v>15</v>
      </c>
      <c r="H154" s="223">
        <v>15</v>
      </c>
      <c r="I154" s="223">
        <v>4500000</v>
      </c>
      <c r="J154" s="223">
        <v>4500000</v>
      </c>
      <c r="K154" s="542" t="s">
        <v>692</v>
      </c>
      <c r="L154" s="233" t="s">
        <v>653</v>
      </c>
    </row>
    <row r="155" spans="1:3" s="229" customFormat="1" ht="23.25" customHeight="1">
      <c r="A155" s="244">
        <v>68</v>
      </c>
      <c r="B155" s="98" t="s">
        <v>42</v>
      </c>
      <c r="C155" s="263" t="s">
        <v>1137</v>
      </c>
    </row>
    <row r="156" spans="1:12" s="229" customFormat="1" ht="23.25" customHeight="1">
      <c r="A156" s="244"/>
      <c r="B156" s="98"/>
      <c r="C156" s="263" t="s">
        <v>282</v>
      </c>
      <c r="D156" s="242" t="s">
        <v>246</v>
      </c>
      <c r="E156" s="245">
        <v>300000</v>
      </c>
      <c r="F156" s="245">
        <v>300000</v>
      </c>
      <c r="G156" s="223">
        <v>19.33</v>
      </c>
      <c r="H156" s="223">
        <v>19.33</v>
      </c>
      <c r="I156" s="223">
        <v>58000000</v>
      </c>
      <c r="J156" s="223">
        <v>58000000</v>
      </c>
      <c r="K156" s="542" t="s">
        <v>692</v>
      </c>
      <c r="L156" s="233" t="s">
        <v>653</v>
      </c>
    </row>
    <row r="157" spans="1:12" s="229" customFormat="1" ht="23.25" customHeight="1">
      <c r="A157" s="244">
        <v>69</v>
      </c>
      <c r="B157" s="502" t="s">
        <v>43</v>
      </c>
      <c r="C157" s="269" t="s">
        <v>1138</v>
      </c>
      <c r="D157" s="242" t="s">
        <v>543</v>
      </c>
      <c r="E157" s="245">
        <v>30000</v>
      </c>
      <c r="F157" s="245">
        <v>30000</v>
      </c>
      <c r="G157" s="223">
        <v>15</v>
      </c>
      <c r="H157" s="223">
        <v>15</v>
      </c>
      <c r="I157" s="223">
        <v>4500000</v>
      </c>
      <c r="J157" s="223">
        <v>4500000</v>
      </c>
      <c r="K157" s="542" t="s">
        <v>692</v>
      </c>
      <c r="L157" s="233" t="s">
        <v>653</v>
      </c>
    </row>
    <row r="158" spans="1:12" s="229" customFormat="1" ht="23.25" customHeight="1">
      <c r="A158" s="244">
        <v>70</v>
      </c>
      <c r="B158" s="502" t="s">
        <v>45</v>
      </c>
      <c r="C158" s="543" t="s">
        <v>1139</v>
      </c>
      <c r="D158" s="242" t="s">
        <v>544</v>
      </c>
      <c r="E158" s="245">
        <v>28000</v>
      </c>
      <c r="F158" s="245">
        <v>28000</v>
      </c>
      <c r="G158" s="223">
        <v>9</v>
      </c>
      <c r="H158" s="223">
        <v>9</v>
      </c>
      <c r="I158" s="223">
        <v>2521000</v>
      </c>
      <c r="J158" s="223">
        <v>2521000</v>
      </c>
      <c r="K158" s="224">
        <v>378150</v>
      </c>
      <c r="L158" s="232">
        <v>378150</v>
      </c>
    </row>
    <row r="159" spans="1:12" s="229" customFormat="1" ht="23.25" customHeight="1">
      <c r="A159" s="244">
        <v>71</v>
      </c>
      <c r="B159" s="502" t="s">
        <v>278</v>
      </c>
      <c r="C159" s="264"/>
      <c r="D159" s="242"/>
      <c r="E159" s="245"/>
      <c r="F159" s="245"/>
      <c r="G159" s="223"/>
      <c r="H159" s="223"/>
      <c r="I159" s="223"/>
      <c r="J159" s="223"/>
      <c r="K159" s="224"/>
      <c r="L159" s="232"/>
    </row>
    <row r="160" spans="1:12" s="229" customFormat="1" ht="23.25" customHeight="1">
      <c r="A160" s="244"/>
      <c r="B160" s="300" t="s">
        <v>279</v>
      </c>
      <c r="C160" s="269" t="s">
        <v>1140</v>
      </c>
      <c r="D160" s="242" t="s">
        <v>245</v>
      </c>
      <c r="E160" s="245">
        <v>50000</v>
      </c>
      <c r="F160" s="245">
        <v>50000</v>
      </c>
      <c r="G160" s="223">
        <v>14</v>
      </c>
      <c r="H160" s="223">
        <v>14</v>
      </c>
      <c r="I160" s="223">
        <v>7000000</v>
      </c>
      <c r="J160" s="223">
        <v>7000000</v>
      </c>
      <c r="K160" s="224">
        <v>1120000</v>
      </c>
      <c r="L160" s="232">
        <v>840000</v>
      </c>
    </row>
    <row r="161" spans="1:12" s="229" customFormat="1" ht="23.25" customHeight="1">
      <c r="A161" s="244">
        <v>72</v>
      </c>
      <c r="B161" s="502" t="s">
        <v>46</v>
      </c>
      <c r="C161" s="269" t="s">
        <v>1135</v>
      </c>
      <c r="D161" s="242"/>
      <c r="E161" s="245"/>
      <c r="F161" s="245"/>
      <c r="G161" s="223"/>
      <c r="H161" s="223"/>
      <c r="I161" s="223"/>
      <c r="J161" s="223"/>
      <c r="K161" s="224"/>
      <c r="L161" s="232"/>
    </row>
    <row r="162" spans="1:12" s="229" customFormat="1" ht="23.25" customHeight="1">
      <c r="A162" s="244"/>
      <c r="B162" s="300" t="s">
        <v>169</v>
      </c>
      <c r="C162" s="269" t="s">
        <v>1141</v>
      </c>
      <c r="D162" s="242" t="s">
        <v>252</v>
      </c>
      <c r="E162" s="245">
        <v>180000</v>
      </c>
      <c r="F162" s="245">
        <v>180000</v>
      </c>
      <c r="G162" s="223">
        <v>12.5</v>
      </c>
      <c r="H162" s="223">
        <v>12.5</v>
      </c>
      <c r="I162" s="223">
        <v>22500000</v>
      </c>
      <c r="J162" s="223">
        <v>22500000</v>
      </c>
      <c r="K162" s="542" t="s">
        <v>692</v>
      </c>
      <c r="L162" s="233" t="s">
        <v>653</v>
      </c>
    </row>
    <row r="163" spans="1:12" s="229" customFormat="1" ht="23.25" customHeight="1">
      <c r="A163" s="244">
        <v>73</v>
      </c>
      <c r="B163" s="502" t="s">
        <v>47</v>
      </c>
      <c r="C163" s="269" t="s">
        <v>1169</v>
      </c>
      <c r="D163" s="242" t="s">
        <v>545</v>
      </c>
      <c r="E163" s="245">
        <v>180000</v>
      </c>
      <c r="F163" s="245">
        <v>180000</v>
      </c>
      <c r="G163" s="223">
        <v>11</v>
      </c>
      <c r="H163" s="223">
        <v>11</v>
      </c>
      <c r="I163" s="223">
        <v>19800000</v>
      </c>
      <c r="J163" s="223">
        <v>19800000</v>
      </c>
      <c r="K163" s="224">
        <v>1366200</v>
      </c>
      <c r="L163" s="232">
        <v>1049400</v>
      </c>
    </row>
    <row r="164" spans="1:12" s="229" customFormat="1" ht="23.25" customHeight="1">
      <c r="A164" s="244">
        <v>74</v>
      </c>
      <c r="B164" s="502" t="s">
        <v>7</v>
      </c>
      <c r="C164" s="264"/>
      <c r="D164" s="242"/>
      <c r="E164" s="245"/>
      <c r="F164" s="245"/>
      <c r="G164" s="223"/>
      <c r="H164" s="223"/>
      <c r="I164" s="223"/>
      <c r="J164" s="223"/>
      <c r="K164" s="224"/>
      <c r="L164" s="232"/>
    </row>
    <row r="165" spans="1:12" s="229" customFormat="1" ht="23.25" customHeight="1">
      <c r="A165" s="244"/>
      <c r="B165" s="300" t="s">
        <v>169</v>
      </c>
      <c r="C165" s="269" t="s">
        <v>593</v>
      </c>
      <c r="D165" s="242" t="s">
        <v>246</v>
      </c>
      <c r="E165" s="245">
        <v>50000</v>
      </c>
      <c r="F165" s="245">
        <v>50000</v>
      </c>
      <c r="G165" s="223">
        <v>10</v>
      </c>
      <c r="H165" s="223">
        <v>10</v>
      </c>
      <c r="I165" s="223">
        <v>5150406.14</v>
      </c>
      <c r="J165" s="223">
        <v>5150406.14</v>
      </c>
      <c r="K165" s="224">
        <v>1000000</v>
      </c>
      <c r="L165" s="232">
        <v>500000</v>
      </c>
    </row>
    <row r="166" spans="1:12" s="229" customFormat="1" ht="23.25" customHeight="1">
      <c r="A166" s="244">
        <v>75</v>
      </c>
      <c r="B166" s="502" t="s">
        <v>48</v>
      </c>
      <c r="C166" s="269" t="s">
        <v>1142</v>
      </c>
      <c r="D166" s="242" t="s">
        <v>546</v>
      </c>
      <c r="E166" s="245">
        <v>30000</v>
      </c>
      <c r="F166" s="245">
        <v>30000</v>
      </c>
      <c r="G166" s="223">
        <v>1.67</v>
      </c>
      <c r="H166" s="223">
        <v>1.67</v>
      </c>
      <c r="I166" s="223">
        <v>500000</v>
      </c>
      <c r="J166" s="223">
        <v>500000</v>
      </c>
      <c r="K166" s="542" t="s">
        <v>692</v>
      </c>
      <c r="L166" s="233" t="s">
        <v>653</v>
      </c>
    </row>
    <row r="167" spans="1:12" s="229" customFormat="1" ht="23.25" customHeight="1">
      <c r="A167" s="244">
        <v>76</v>
      </c>
      <c r="B167" s="502" t="s">
        <v>9</v>
      </c>
      <c r="C167" s="269" t="s">
        <v>356</v>
      </c>
      <c r="D167" s="242" t="s">
        <v>246</v>
      </c>
      <c r="E167" s="245">
        <v>30000</v>
      </c>
      <c r="F167" s="245">
        <v>30000</v>
      </c>
      <c r="G167" s="223">
        <v>10</v>
      </c>
      <c r="H167" s="223">
        <v>10</v>
      </c>
      <c r="I167" s="223">
        <v>3000000</v>
      </c>
      <c r="J167" s="223">
        <v>3000000</v>
      </c>
      <c r="K167" s="224">
        <v>360000</v>
      </c>
      <c r="L167" s="233" t="s">
        <v>653</v>
      </c>
    </row>
    <row r="168" spans="1:12" s="229" customFormat="1" ht="23.25" customHeight="1">
      <c r="A168" s="244">
        <v>77</v>
      </c>
      <c r="B168" s="502" t="s">
        <v>49</v>
      </c>
      <c r="C168" s="269" t="s">
        <v>1170</v>
      </c>
      <c r="D168" s="242" t="s">
        <v>543</v>
      </c>
      <c r="E168" s="245">
        <v>18125</v>
      </c>
      <c r="F168" s="245">
        <v>18125</v>
      </c>
      <c r="G168" s="223">
        <v>9</v>
      </c>
      <c r="H168" s="223">
        <v>9</v>
      </c>
      <c r="I168" s="223">
        <v>13050000</v>
      </c>
      <c r="J168" s="223">
        <v>13050000</v>
      </c>
      <c r="K168" s="542" t="s">
        <v>692</v>
      </c>
      <c r="L168" s="233" t="s">
        <v>653</v>
      </c>
    </row>
    <row r="169" spans="1:12" s="229" customFormat="1" ht="23.25" customHeight="1">
      <c r="A169" s="244">
        <v>78</v>
      </c>
      <c r="B169" s="502" t="s">
        <v>50</v>
      </c>
      <c r="C169" s="269" t="s">
        <v>1143</v>
      </c>
      <c r="D169" s="242" t="s">
        <v>246</v>
      </c>
      <c r="E169" s="245">
        <v>20000</v>
      </c>
      <c r="F169" s="245">
        <v>20000</v>
      </c>
      <c r="G169" s="223">
        <v>3.38</v>
      </c>
      <c r="H169" s="223">
        <v>3.38</v>
      </c>
      <c r="I169" s="223">
        <v>2700000</v>
      </c>
      <c r="J169" s="223">
        <v>2700000</v>
      </c>
      <c r="K169" s="224">
        <v>23625</v>
      </c>
      <c r="L169" s="232">
        <v>23625</v>
      </c>
    </row>
    <row r="170" spans="1:12" s="229" customFormat="1" ht="23.25" customHeight="1">
      <c r="A170" s="244">
        <v>79</v>
      </c>
      <c r="B170" s="502" t="s">
        <v>285</v>
      </c>
      <c r="D170" s="242"/>
      <c r="E170" s="245"/>
      <c r="F170" s="245"/>
      <c r="G170" s="223"/>
      <c r="H170" s="223"/>
      <c r="I170" s="223"/>
      <c r="J170" s="223"/>
      <c r="K170" s="224"/>
      <c r="L170" s="232"/>
    </row>
    <row r="171" spans="1:12" s="229" customFormat="1" ht="23.25" customHeight="1">
      <c r="A171" s="244"/>
      <c r="B171" s="300" t="s">
        <v>286</v>
      </c>
      <c r="C171" s="269" t="s">
        <v>1144</v>
      </c>
      <c r="D171" s="242" t="s">
        <v>245</v>
      </c>
      <c r="E171" s="245">
        <v>120000</v>
      </c>
      <c r="F171" s="245">
        <v>120000</v>
      </c>
      <c r="G171" s="223">
        <v>15.6</v>
      </c>
      <c r="H171" s="223">
        <v>15.6</v>
      </c>
      <c r="I171" s="223">
        <v>18720000</v>
      </c>
      <c r="J171" s="223">
        <v>18720000</v>
      </c>
      <c r="K171" s="224">
        <v>3744000</v>
      </c>
      <c r="L171" s="232">
        <v>3744000</v>
      </c>
    </row>
    <row r="172" spans="1:12" s="229" customFormat="1" ht="23.25" customHeight="1">
      <c r="A172" s="244">
        <v>80</v>
      </c>
      <c r="B172" s="502" t="s">
        <v>51</v>
      </c>
      <c r="C172" s="269" t="s">
        <v>378</v>
      </c>
      <c r="D172" s="242" t="s">
        <v>543</v>
      </c>
      <c r="E172" s="245">
        <v>34230</v>
      </c>
      <c r="F172" s="245">
        <v>34230</v>
      </c>
      <c r="G172" s="223">
        <v>9.24</v>
      </c>
      <c r="H172" s="223">
        <v>9.24</v>
      </c>
      <c r="I172" s="223">
        <v>10381900</v>
      </c>
      <c r="J172" s="223">
        <v>10381900</v>
      </c>
      <c r="K172" s="542" t="s">
        <v>692</v>
      </c>
      <c r="L172" s="233" t="s">
        <v>653</v>
      </c>
    </row>
    <row r="173" spans="1:12" s="229" customFormat="1" ht="23.25" customHeight="1">
      <c r="A173" s="244">
        <v>81</v>
      </c>
      <c r="B173" s="502" t="s">
        <v>633</v>
      </c>
      <c r="C173" s="269"/>
      <c r="D173" s="242"/>
      <c r="E173" s="245"/>
      <c r="F173" s="245"/>
      <c r="G173" s="223"/>
      <c r="H173" s="223"/>
      <c r="I173" s="223"/>
      <c r="J173" s="223"/>
      <c r="K173" s="224"/>
      <c r="L173" s="232"/>
    </row>
    <row r="174" spans="1:12" s="229" customFormat="1" ht="23.25" customHeight="1">
      <c r="A174" s="244"/>
      <c r="B174" s="502" t="s">
        <v>634</v>
      </c>
      <c r="C174" s="269" t="s">
        <v>1145</v>
      </c>
      <c r="D174" s="242" t="s">
        <v>245</v>
      </c>
      <c r="E174" s="245">
        <v>100000</v>
      </c>
      <c r="F174" s="245">
        <v>100000</v>
      </c>
      <c r="G174" s="223">
        <v>12</v>
      </c>
      <c r="H174" s="223">
        <v>12</v>
      </c>
      <c r="I174" s="223">
        <v>11999900</v>
      </c>
      <c r="J174" s="223">
        <v>11999900</v>
      </c>
      <c r="K174" s="224">
        <v>1199990</v>
      </c>
      <c r="L174" s="232">
        <v>1199990</v>
      </c>
    </row>
    <row r="175" spans="1:3" s="229" customFormat="1" ht="23.25" customHeight="1">
      <c r="A175" s="244">
        <v>82</v>
      </c>
      <c r="B175" s="502" t="s">
        <v>52</v>
      </c>
      <c r="C175" s="269" t="s">
        <v>1146</v>
      </c>
    </row>
    <row r="176" spans="1:12" s="229" customFormat="1" ht="23.25" customHeight="1">
      <c r="A176" s="244"/>
      <c r="B176" s="502"/>
      <c r="C176" s="269" t="s">
        <v>1147</v>
      </c>
      <c r="D176" s="242" t="s">
        <v>543</v>
      </c>
      <c r="E176" s="245">
        <v>20000</v>
      </c>
      <c r="F176" s="245">
        <v>20000</v>
      </c>
      <c r="G176" s="223">
        <v>5.42</v>
      </c>
      <c r="H176" s="223">
        <v>5.42</v>
      </c>
      <c r="I176" s="223">
        <v>1083200</v>
      </c>
      <c r="J176" s="223">
        <v>1083200</v>
      </c>
      <c r="K176" s="542" t="s">
        <v>692</v>
      </c>
      <c r="L176" s="233" t="s">
        <v>653</v>
      </c>
    </row>
    <row r="177" spans="1:12" s="229" customFormat="1" ht="23.25" customHeight="1">
      <c r="A177" s="244">
        <v>83</v>
      </c>
      <c r="B177" s="502" t="s">
        <v>12</v>
      </c>
      <c r="C177" s="263" t="s">
        <v>180</v>
      </c>
      <c r="D177" s="242" t="s">
        <v>246</v>
      </c>
      <c r="E177" s="245">
        <v>10000</v>
      </c>
      <c r="F177" s="245">
        <v>10000</v>
      </c>
      <c r="G177" s="223">
        <v>12</v>
      </c>
      <c r="H177" s="223">
        <v>12</v>
      </c>
      <c r="I177" s="223">
        <v>1200000</v>
      </c>
      <c r="J177" s="223">
        <v>1200000</v>
      </c>
      <c r="K177" s="224">
        <v>720000</v>
      </c>
      <c r="L177" s="232">
        <v>720000</v>
      </c>
    </row>
    <row r="178" spans="1:12" s="229" customFormat="1" ht="23.25" customHeight="1">
      <c r="A178" s="244">
        <v>84</v>
      </c>
      <c r="B178" s="502" t="s">
        <v>1217</v>
      </c>
      <c r="C178" s="263" t="s">
        <v>1148</v>
      </c>
      <c r="D178" s="242" t="s">
        <v>246</v>
      </c>
      <c r="E178" s="245">
        <v>145000</v>
      </c>
      <c r="F178" s="245">
        <v>145000</v>
      </c>
      <c r="G178" s="223">
        <v>10.52</v>
      </c>
      <c r="H178" s="223">
        <v>10.52</v>
      </c>
      <c r="I178" s="223">
        <v>15250000</v>
      </c>
      <c r="J178" s="223">
        <v>15250000</v>
      </c>
      <c r="K178" s="542" t="s">
        <v>692</v>
      </c>
      <c r="L178" s="233" t="s">
        <v>653</v>
      </c>
    </row>
    <row r="179" spans="1:12" s="229" customFormat="1" ht="23.25" customHeight="1">
      <c r="A179" s="244">
        <v>85</v>
      </c>
      <c r="B179" s="502" t="s">
        <v>53</v>
      </c>
      <c r="C179" s="263"/>
      <c r="D179" s="242"/>
      <c r="E179" s="245"/>
      <c r="F179" s="245"/>
      <c r="G179" s="223"/>
      <c r="H179" s="223"/>
      <c r="I179" s="223"/>
      <c r="J179" s="223"/>
      <c r="K179" s="224"/>
      <c r="L179" s="232"/>
    </row>
    <row r="180" spans="1:12" s="229" customFormat="1" ht="23.25" customHeight="1">
      <c r="A180" s="244"/>
      <c r="B180" s="300" t="s">
        <v>189</v>
      </c>
      <c r="C180" s="263" t="s">
        <v>1149</v>
      </c>
      <c r="D180" s="242" t="s">
        <v>382</v>
      </c>
      <c r="E180" s="245">
        <v>15000</v>
      </c>
      <c r="F180" s="245">
        <v>15000</v>
      </c>
      <c r="G180" s="223">
        <v>10</v>
      </c>
      <c r="H180" s="223">
        <v>10</v>
      </c>
      <c r="I180" s="223">
        <v>1500000</v>
      </c>
      <c r="J180" s="223">
        <v>1500000</v>
      </c>
      <c r="K180" s="542" t="s">
        <v>692</v>
      </c>
      <c r="L180" s="233" t="s">
        <v>653</v>
      </c>
    </row>
    <row r="181" spans="1:12" s="229" customFormat="1" ht="23.25" customHeight="1">
      <c r="A181" s="244">
        <v>86</v>
      </c>
      <c r="B181" s="502" t="s">
        <v>54</v>
      </c>
      <c r="C181" s="264"/>
      <c r="D181" s="242"/>
      <c r="E181" s="245"/>
      <c r="F181" s="245"/>
      <c r="G181" s="223"/>
      <c r="H181" s="223"/>
      <c r="I181" s="223"/>
      <c r="J181" s="223"/>
      <c r="K181" s="224"/>
      <c r="L181" s="232"/>
    </row>
    <row r="182" spans="1:12" s="229" customFormat="1" ht="23.25" customHeight="1">
      <c r="A182" s="244"/>
      <c r="B182" s="300" t="s">
        <v>55</v>
      </c>
      <c r="C182" s="263" t="s">
        <v>1150</v>
      </c>
      <c r="D182" s="242" t="s">
        <v>382</v>
      </c>
      <c r="E182" s="245">
        <v>31250</v>
      </c>
      <c r="F182" s="245">
        <v>31250</v>
      </c>
      <c r="G182" s="223">
        <v>10</v>
      </c>
      <c r="H182" s="223">
        <v>10</v>
      </c>
      <c r="I182" s="223">
        <v>3125000</v>
      </c>
      <c r="J182" s="223">
        <v>3125000</v>
      </c>
      <c r="K182" s="542" t="s">
        <v>692</v>
      </c>
      <c r="L182" s="233" t="s">
        <v>653</v>
      </c>
    </row>
    <row r="183" spans="1:12" ht="26.25" customHeight="1">
      <c r="A183" s="533" t="s">
        <v>1</v>
      </c>
      <c r="B183" s="533"/>
      <c r="C183" s="533"/>
      <c r="D183" s="533"/>
      <c r="E183" s="533"/>
      <c r="F183" s="533"/>
      <c r="G183" s="533"/>
      <c r="H183" s="533"/>
      <c r="I183" s="533"/>
      <c r="J183" s="533"/>
      <c r="K183" s="533"/>
      <c r="L183" s="533"/>
    </row>
    <row r="184" spans="2:10" ht="26.25" customHeight="1">
      <c r="B184" s="236"/>
      <c r="C184" s="46"/>
      <c r="D184" s="44"/>
      <c r="E184" s="535"/>
      <c r="F184" s="535"/>
      <c r="G184" s="531"/>
      <c r="H184" s="531"/>
      <c r="I184" s="531"/>
      <c r="J184" s="531"/>
    </row>
    <row r="185" spans="1:12" ht="26.25" customHeight="1">
      <c r="A185" s="534" t="s">
        <v>532</v>
      </c>
      <c r="C185" s="45"/>
      <c r="D185" s="45"/>
      <c r="E185" s="521"/>
      <c r="F185" s="521"/>
      <c r="G185" s="522"/>
      <c r="H185" s="522"/>
      <c r="I185" s="522"/>
      <c r="J185" s="522"/>
      <c r="K185" s="521"/>
      <c r="L185" s="521"/>
    </row>
    <row r="186" spans="1:12" s="300" customFormat="1" ht="26.25" customHeight="1">
      <c r="A186" s="523" t="s">
        <v>350</v>
      </c>
      <c r="B186" s="524" t="s">
        <v>113</v>
      </c>
      <c r="C186" s="220" t="s">
        <v>161</v>
      </c>
      <c r="D186" s="220" t="s">
        <v>349</v>
      </c>
      <c r="E186" s="536" t="s">
        <v>772</v>
      </c>
      <c r="F186" s="536"/>
      <c r="G186" s="536" t="s">
        <v>773</v>
      </c>
      <c r="H186" s="536"/>
      <c r="I186" s="536" t="s">
        <v>351</v>
      </c>
      <c r="J186" s="536"/>
      <c r="K186" s="536" t="s">
        <v>352</v>
      </c>
      <c r="L186" s="536"/>
    </row>
    <row r="187" spans="1:12" s="300" customFormat="1" ht="26.25" customHeight="1">
      <c r="A187" s="525"/>
      <c r="B187" s="526"/>
      <c r="C187" s="527" t="s">
        <v>162</v>
      </c>
      <c r="D187" s="527"/>
      <c r="E187" s="537" t="s">
        <v>354</v>
      </c>
      <c r="F187" s="537"/>
      <c r="G187" s="537" t="s">
        <v>655</v>
      </c>
      <c r="H187" s="537"/>
      <c r="I187" s="537" t="s">
        <v>353</v>
      </c>
      <c r="J187" s="537"/>
      <c r="K187" s="537" t="s">
        <v>353</v>
      </c>
      <c r="L187" s="537"/>
    </row>
    <row r="188" spans="1:12" s="529" customFormat="1" ht="26.25" customHeight="1">
      <c r="A188" s="528"/>
      <c r="B188" s="110"/>
      <c r="C188" s="34"/>
      <c r="D188" s="35"/>
      <c r="E188" s="221" t="s">
        <v>236</v>
      </c>
      <c r="F188" s="221" t="s">
        <v>141</v>
      </c>
      <c r="G188" s="221" t="s">
        <v>236</v>
      </c>
      <c r="H188" s="221" t="s">
        <v>141</v>
      </c>
      <c r="I188" s="221" t="s">
        <v>236</v>
      </c>
      <c r="J188" s="221" t="s">
        <v>141</v>
      </c>
      <c r="K188" s="221" t="s">
        <v>236</v>
      </c>
      <c r="L188" s="221" t="s">
        <v>141</v>
      </c>
    </row>
    <row r="189" spans="1:12" s="229" customFormat="1" ht="26.25" customHeight="1">
      <c r="A189" s="244">
        <v>87</v>
      </c>
      <c r="B189" s="502" t="s">
        <v>56</v>
      </c>
      <c r="C189" s="264"/>
      <c r="D189" s="242"/>
      <c r="E189" s="245"/>
      <c r="F189" s="245"/>
      <c r="G189" s="223"/>
      <c r="H189" s="223"/>
      <c r="I189" s="223"/>
      <c r="J189" s="223"/>
      <c r="K189" s="224"/>
      <c r="L189" s="232"/>
    </row>
    <row r="190" spans="1:12" s="229" customFormat="1" ht="26.25" customHeight="1">
      <c r="A190" s="244"/>
      <c r="B190" s="300" t="s">
        <v>169</v>
      </c>
      <c r="C190" s="263" t="s">
        <v>180</v>
      </c>
      <c r="D190" s="242" t="s">
        <v>246</v>
      </c>
      <c r="E190" s="245">
        <v>80000</v>
      </c>
      <c r="F190" s="245">
        <v>80000</v>
      </c>
      <c r="G190" s="223">
        <v>10</v>
      </c>
      <c r="H190" s="223">
        <v>10</v>
      </c>
      <c r="I190" s="223">
        <v>8000000</v>
      </c>
      <c r="J190" s="223">
        <v>8000000</v>
      </c>
      <c r="K190" s="542" t="s">
        <v>692</v>
      </c>
      <c r="L190" s="233" t="s">
        <v>653</v>
      </c>
    </row>
    <row r="191" spans="1:12" s="229" customFormat="1" ht="26.25" customHeight="1">
      <c r="A191" s="244">
        <v>88</v>
      </c>
      <c r="B191" s="502" t="s">
        <v>57</v>
      </c>
      <c r="C191" s="263" t="s">
        <v>1151</v>
      </c>
      <c r="D191" s="242"/>
      <c r="E191" s="245"/>
      <c r="F191" s="245"/>
      <c r="G191" s="223"/>
      <c r="H191" s="223"/>
      <c r="I191" s="223"/>
      <c r="J191" s="223"/>
      <c r="K191" s="224"/>
      <c r="L191" s="232"/>
    </row>
    <row r="192" spans="1:12" s="229" customFormat="1" ht="26.25" customHeight="1">
      <c r="A192" s="244"/>
      <c r="B192" s="300" t="s">
        <v>169</v>
      </c>
      <c r="C192" s="263" t="s">
        <v>1152</v>
      </c>
      <c r="D192" s="242" t="s">
        <v>382</v>
      </c>
      <c r="E192" s="245">
        <v>2000</v>
      </c>
      <c r="F192" s="245">
        <v>2000</v>
      </c>
      <c r="G192" s="223">
        <v>15</v>
      </c>
      <c r="H192" s="223">
        <v>15</v>
      </c>
      <c r="I192" s="223">
        <v>300000</v>
      </c>
      <c r="J192" s="223">
        <v>300000</v>
      </c>
      <c r="K192" s="542" t="s">
        <v>692</v>
      </c>
      <c r="L192" s="233" t="s">
        <v>653</v>
      </c>
    </row>
    <row r="193" spans="1:12" s="229" customFormat="1" ht="26.25" customHeight="1">
      <c r="A193" s="244">
        <v>89</v>
      </c>
      <c r="B193" s="502" t="s">
        <v>58</v>
      </c>
      <c r="C193" s="263" t="s">
        <v>1130</v>
      </c>
      <c r="D193" s="242"/>
      <c r="E193" s="245"/>
      <c r="F193" s="245"/>
      <c r="G193" s="223"/>
      <c r="H193" s="223"/>
      <c r="I193" s="223"/>
      <c r="J193" s="223"/>
      <c r="K193" s="224"/>
      <c r="L193" s="232"/>
    </row>
    <row r="194" spans="1:12" s="229" customFormat="1" ht="26.25" customHeight="1">
      <c r="A194" s="244"/>
      <c r="B194" s="300" t="s">
        <v>189</v>
      </c>
      <c r="C194" s="263" t="s">
        <v>1153</v>
      </c>
      <c r="D194" s="242" t="s">
        <v>382</v>
      </c>
      <c r="E194" s="245">
        <v>30000</v>
      </c>
      <c r="F194" s="245">
        <v>30000</v>
      </c>
      <c r="G194" s="223">
        <v>6.67</v>
      </c>
      <c r="H194" s="223">
        <v>6.67</v>
      </c>
      <c r="I194" s="223">
        <v>2000000</v>
      </c>
      <c r="J194" s="223">
        <v>2000000</v>
      </c>
      <c r="K194" s="224">
        <v>100000</v>
      </c>
      <c r="L194" s="232">
        <v>100000</v>
      </c>
    </row>
    <row r="195" spans="1:12" s="229" customFormat="1" ht="26.25" customHeight="1">
      <c r="A195" s="244">
        <v>90</v>
      </c>
      <c r="B195" s="502" t="s">
        <v>59</v>
      </c>
      <c r="D195" s="242"/>
      <c r="E195" s="245"/>
      <c r="F195" s="245"/>
      <c r="G195" s="223"/>
      <c r="H195" s="223"/>
      <c r="I195" s="223"/>
      <c r="J195" s="223"/>
      <c r="K195" s="224"/>
      <c r="L195" s="232"/>
    </row>
    <row r="196" spans="1:12" s="229" customFormat="1" ht="26.25" customHeight="1">
      <c r="A196" s="244"/>
      <c r="B196" s="300" t="s">
        <v>60</v>
      </c>
      <c r="C196" s="263" t="s">
        <v>1154</v>
      </c>
      <c r="D196" s="242" t="s">
        <v>547</v>
      </c>
      <c r="E196" s="245">
        <v>5000</v>
      </c>
      <c r="F196" s="245">
        <v>5000</v>
      </c>
      <c r="G196" s="223">
        <v>19.99</v>
      </c>
      <c r="H196" s="223">
        <v>19.99</v>
      </c>
      <c r="I196" s="223">
        <v>999500</v>
      </c>
      <c r="J196" s="223">
        <v>999500</v>
      </c>
      <c r="K196" s="241">
        <v>399800</v>
      </c>
      <c r="L196" s="232">
        <v>399800</v>
      </c>
    </row>
    <row r="197" spans="1:12" s="229" customFormat="1" ht="26.25" customHeight="1">
      <c r="A197" s="244">
        <v>91</v>
      </c>
      <c r="B197" s="502" t="s">
        <v>61</v>
      </c>
      <c r="C197" s="263" t="s">
        <v>496</v>
      </c>
      <c r="D197" s="242"/>
      <c r="E197" s="245"/>
      <c r="F197" s="245"/>
      <c r="G197" s="223"/>
      <c r="H197" s="223"/>
      <c r="I197" s="223"/>
      <c r="J197" s="223"/>
      <c r="K197" s="224"/>
      <c r="L197" s="232"/>
    </row>
    <row r="198" spans="1:12" s="229" customFormat="1" ht="26.25" customHeight="1">
      <c r="A198" s="244"/>
      <c r="B198" s="466" t="s">
        <v>62</v>
      </c>
      <c r="C198" s="263" t="s">
        <v>1155</v>
      </c>
      <c r="D198" s="242" t="s">
        <v>252</v>
      </c>
      <c r="E198" s="245">
        <v>350000</v>
      </c>
      <c r="F198" s="245">
        <v>350000</v>
      </c>
      <c r="G198" s="223">
        <v>2</v>
      </c>
      <c r="H198" s="223">
        <v>2</v>
      </c>
      <c r="I198" s="223">
        <v>7000000</v>
      </c>
      <c r="J198" s="223">
        <v>7000000</v>
      </c>
      <c r="K198" s="542" t="s">
        <v>692</v>
      </c>
      <c r="L198" s="232">
        <v>371700</v>
      </c>
    </row>
    <row r="199" spans="1:12" s="229" customFormat="1" ht="26.25" customHeight="1">
      <c r="A199" s="244">
        <v>92</v>
      </c>
      <c r="B199" s="502" t="s">
        <v>317</v>
      </c>
      <c r="C199" s="269"/>
      <c r="D199" s="242"/>
      <c r="E199" s="245"/>
      <c r="F199" s="245"/>
      <c r="G199" s="223"/>
      <c r="H199" s="223"/>
      <c r="I199" s="223"/>
      <c r="J199" s="223"/>
      <c r="K199" s="224"/>
      <c r="L199" s="232"/>
    </row>
    <row r="200" spans="1:12" s="229" customFormat="1" ht="26.25" customHeight="1">
      <c r="A200" s="244"/>
      <c r="B200" s="466" t="s">
        <v>318</v>
      </c>
      <c r="C200" s="269" t="s">
        <v>204</v>
      </c>
      <c r="D200" s="242" t="s">
        <v>382</v>
      </c>
      <c r="E200" s="245">
        <v>300000</v>
      </c>
      <c r="F200" s="245">
        <v>300000</v>
      </c>
      <c r="G200" s="223">
        <v>6</v>
      </c>
      <c r="H200" s="223">
        <v>6</v>
      </c>
      <c r="I200" s="223">
        <v>18000000</v>
      </c>
      <c r="J200" s="223">
        <v>18000000</v>
      </c>
      <c r="K200" s="224">
        <v>1211400</v>
      </c>
      <c r="L200" s="232">
        <v>1206000</v>
      </c>
    </row>
    <row r="201" spans="1:3" s="229" customFormat="1" ht="26.25" customHeight="1">
      <c r="A201" s="244">
        <v>93</v>
      </c>
      <c r="B201" s="502" t="s">
        <v>63</v>
      </c>
      <c r="C201" s="263" t="s">
        <v>1156</v>
      </c>
    </row>
    <row r="202" spans="1:12" s="229" customFormat="1" ht="26.25" customHeight="1">
      <c r="A202" s="244"/>
      <c r="B202" s="502"/>
      <c r="C202" s="263" t="s">
        <v>1171</v>
      </c>
      <c r="D202" s="242" t="s">
        <v>546</v>
      </c>
      <c r="E202" s="245">
        <v>50000</v>
      </c>
      <c r="F202" s="245">
        <v>50000</v>
      </c>
      <c r="G202" s="223">
        <v>2</v>
      </c>
      <c r="H202" s="223">
        <v>2</v>
      </c>
      <c r="I202" s="223">
        <v>1000000</v>
      </c>
      <c r="J202" s="223">
        <v>1000000</v>
      </c>
      <c r="K202" s="542" t="s">
        <v>692</v>
      </c>
      <c r="L202" s="232">
        <v>460000</v>
      </c>
    </row>
    <row r="203" spans="1:12" s="229" customFormat="1" ht="26.25" customHeight="1">
      <c r="A203" s="244">
        <v>94</v>
      </c>
      <c r="B203" s="502" t="s">
        <v>627</v>
      </c>
      <c r="C203" s="269" t="s">
        <v>397</v>
      </c>
      <c r="D203" s="242" t="s">
        <v>543</v>
      </c>
      <c r="E203" s="245">
        <v>33000</v>
      </c>
      <c r="F203" s="245">
        <v>33000</v>
      </c>
      <c r="G203" s="223">
        <v>9.09</v>
      </c>
      <c r="H203" s="223">
        <v>9.09</v>
      </c>
      <c r="I203" s="223">
        <v>3000000</v>
      </c>
      <c r="J203" s="223">
        <v>3000000</v>
      </c>
      <c r="K203" s="542" t="s">
        <v>692</v>
      </c>
      <c r="L203" s="233" t="s">
        <v>653</v>
      </c>
    </row>
    <row r="204" spans="1:12" s="229" customFormat="1" ht="26.25" customHeight="1">
      <c r="A204" s="244">
        <v>95</v>
      </c>
      <c r="B204" s="502" t="s">
        <v>628</v>
      </c>
      <c r="C204" s="269"/>
      <c r="D204" s="242"/>
      <c r="E204" s="245"/>
      <c r="F204" s="245"/>
      <c r="G204" s="223"/>
      <c r="H204" s="223"/>
      <c r="I204" s="223"/>
      <c r="J204" s="223"/>
      <c r="K204" s="224"/>
      <c r="L204" s="232"/>
    </row>
    <row r="205" spans="1:12" s="229" customFormat="1" ht="26.25" customHeight="1">
      <c r="A205" s="244"/>
      <c r="B205" s="466" t="s">
        <v>318</v>
      </c>
      <c r="C205" s="269" t="s">
        <v>320</v>
      </c>
      <c r="D205" s="242" t="s">
        <v>246</v>
      </c>
      <c r="E205" s="245">
        <v>56000</v>
      </c>
      <c r="F205" s="245">
        <v>25000</v>
      </c>
      <c r="G205" s="223">
        <v>7.14</v>
      </c>
      <c r="H205" s="223">
        <v>8</v>
      </c>
      <c r="I205" s="223">
        <v>4000000</v>
      </c>
      <c r="J205" s="223">
        <v>2000000</v>
      </c>
      <c r="K205" s="542" t="s">
        <v>692</v>
      </c>
      <c r="L205" s="233" t="s">
        <v>653</v>
      </c>
    </row>
    <row r="206" spans="1:12" s="229" customFormat="1" ht="26.25" customHeight="1">
      <c r="A206" s="244">
        <v>96</v>
      </c>
      <c r="B206" s="502" t="s">
        <v>629</v>
      </c>
      <c r="C206" s="544"/>
      <c r="D206" s="242"/>
      <c r="E206" s="245"/>
      <c r="F206" s="245"/>
      <c r="G206" s="223"/>
      <c r="H206" s="223"/>
      <c r="I206" s="223"/>
      <c r="J206" s="223"/>
      <c r="K206" s="224"/>
      <c r="L206" s="232"/>
    </row>
    <row r="207" spans="1:12" s="229" customFormat="1" ht="26.25" customHeight="1">
      <c r="A207" s="244"/>
      <c r="B207" s="466" t="s">
        <v>311</v>
      </c>
      <c r="C207" s="544" t="s">
        <v>1157</v>
      </c>
      <c r="D207" s="242" t="s">
        <v>544</v>
      </c>
      <c r="E207" s="245">
        <v>187500</v>
      </c>
      <c r="F207" s="245">
        <v>174000</v>
      </c>
      <c r="G207" s="223">
        <v>15</v>
      </c>
      <c r="H207" s="223">
        <v>15</v>
      </c>
      <c r="I207" s="223">
        <v>34220230.95</v>
      </c>
      <c r="J207" s="223">
        <v>32262730.95</v>
      </c>
      <c r="K207" s="542" t="s">
        <v>692</v>
      </c>
      <c r="L207" s="233" t="s">
        <v>653</v>
      </c>
    </row>
    <row r="208" spans="1:12" s="229" customFormat="1" ht="26.25" customHeight="1">
      <c r="A208" s="244">
        <v>97</v>
      </c>
      <c r="B208" s="466" t="s">
        <v>630</v>
      </c>
      <c r="C208" s="544" t="s">
        <v>656</v>
      </c>
      <c r="D208" s="242"/>
      <c r="E208" s="245"/>
      <c r="F208" s="245"/>
      <c r="G208" s="223"/>
      <c r="H208" s="223"/>
      <c r="I208" s="223"/>
      <c r="J208" s="223"/>
      <c r="K208" s="224"/>
      <c r="L208" s="232"/>
    </row>
    <row r="209" spans="1:12" s="229" customFormat="1" ht="26.25" customHeight="1">
      <c r="A209" s="244"/>
      <c r="B209" s="466" t="s">
        <v>631</v>
      </c>
      <c r="C209" s="544" t="s">
        <v>1158</v>
      </c>
      <c r="D209" s="242" t="s">
        <v>246</v>
      </c>
      <c r="E209" s="245">
        <v>10000</v>
      </c>
      <c r="F209" s="245">
        <v>10000</v>
      </c>
      <c r="G209" s="223">
        <v>15</v>
      </c>
      <c r="H209" s="223">
        <v>15</v>
      </c>
      <c r="I209" s="223">
        <v>6927000</v>
      </c>
      <c r="J209" s="223">
        <v>6927000</v>
      </c>
      <c r="K209" s="224">
        <v>1350000</v>
      </c>
      <c r="L209" s="232">
        <v>1050000</v>
      </c>
    </row>
    <row r="210" spans="1:12" s="229" customFormat="1" ht="26.25" customHeight="1">
      <c r="A210" s="244">
        <v>98</v>
      </c>
      <c r="B210" s="466" t="s">
        <v>632</v>
      </c>
      <c r="C210" s="544" t="s">
        <v>378</v>
      </c>
      <c r="D210" s="242" t="s">
        <v>544</v>
      </c>
      <c r="E210" s="245">
        <v>100000</v>
      </c>
      <c r="F210" s="542" t="s">
        <v>692</v>
      </c>
      <c r="G210" s="223">
        <v>3.5</v>
      </c>
      <c r="H210" s="542" t="s">
        <v>692</v>
      </c>
      <c r="I210" s="226">
        <v>3500000</v>
      </c>
      <c r="J210" s="648" t="s">
        <v>692</v>
      </c>
      <c r="K210" s="648" t="s">
        <v>692</v>
      </c>
      <c r="L210" s="648" t="s">
        <v>692</v>
      </c>
    </row>
    <row r="211" spans="1:13" ht="26.25" customHeight="1">
      <c r="A211" s="46"/>
      <c r="B211" s="545" t="s">
        <v>208</v>
      </c>
      <c r="D211" s="46"/>
      <c r="E211" s="250"/>
      <c r="F211" s="250"/>
      <c r="G211" s="229"/>
      <c r="H211" s="229"/>
      <c r="I211" s="649">
        <f>SUM(I39:I43,I52:I87,I98:I133,I143:I182,I189:I210)</f>
        <v>1256465356.81</v>
      </c>
      <c r="J211" s="649">
        <f>SUM(J39:J43,J52:J87,J98:J133,J143:J182,J189:J210)</f>
        <v>1245760998.31</v>
      </c>
      <c r="K211" s="649">
        <f>SUM(K39:K43,K52:K87,K98:K133,K143:K182,K189:K210)</f>
        <v>223623468.01000002</v>
      </c>
      <c r="L211" s="649">
        <f>SUM(L39:L43,L52:L87,L98:L133,L143:L182,L189:L210)</f>
        <v>154662494.96</v>
      </c>
      <c r="M211" s="244"/>
    </row>
    <row r="212" spans="1:13" ht="26.25" customHeight="1">
      <c r="A212" s="46"/>
      <c r="B212" s="101" t="s">
        <v>673</v>
      </c>
      <c r="D212" s="46"/>
      <c r="E212" s="46"/>
      <c r="F212" s="46"/>
      <c r="I212" s="227">
        <v>-4500000</v>
      </c>
      <c r="J212" s="227">
        <v>-10252202.5</v>
      </c>
      <c r="K212" s="251" t="s">
        <v>653</v>
      </c>
      <c r="L212" s="251" t="s">
        <v>653</v>
      </c>
      <c r="M212" s="244"/>
    </row>
    <row r="213" spans="2:13" ht="26.25" customHeight="1">
      <c r="B213" s="101" t="s">
        <v>209</v>
      </c>
      <c r="D213" s="46"/>
      <c r="E213" s="46"/>
      <c r="F213" s="46"/>
      <c r="I213" s="252">
        <v>-359030362.31</v>
      </c>
      <c r="J213" s="252">
        <v>-311969045.17</v>
      </c>
      <c r="K213" s="251" t="s">
        <v>653</v>
      </c>
      <c r="L213" s="251" t="s">
        <v>653</v>
      </c>
      <c r="M213" s="244"/>
    </row>
    <row r="214" spans="2:12" ht="26.25" customHeight="1" thickBot="1">
      <c r="B214" s="404" t="s">
        <v>124</v>
      </c>
      <c r="D214" s="46"/>
      <c r="E214" s="46"/>
      <c r="F214" s="46"/>
      <c r="I214" s="253">
        <f>SUM(I211:I213)</f>
        <v>892934994.5</v>
      </c>
      <c r="J214" s="253">
        <f>SUM(J211:J213)</f>
        <v>923539750.6399999</v>
      </c>
      <c r="K214" s="253">
        <f>SUM(K211:K213)</f>
        <v>223623468.01000002</v>
      </c>
      <c r="L214" s="253">
        <f>SUM(L211:L213)</f>
        <v>154662494.96</v>
      </c>
    </row>
    <row r="215" spans="2:12" ht="26.25" customHeight="1" thickBot="1" thickTop="1">
      <c r="B215" s="47" t="s">
        <v>125</v>
      </c>
      <c r="E215" s="48"/>
      <c r="F215" s="48"/>
      <c r="I215" s="254">
        <f>+I36+I214</f>
        <v>2603379287.28</v>
      </c>
      <c r="J215" s="254">
        <f>+J36+J214</f>
        <v>2408567034.52</v>
      </c>
      <c r="K215" s="254">
        <f>+K36+K214</f>
        <v>293472744.11</v>
      </c>
      <c r="L215" s="254">
        <f>+L36+L214</f>
        <v>239195782.97000003</v>
      </c>
    </row>
    <row r="216" spans="2:12" ht="26.25" customHeight="1" thickTop="1">
      <c r="B216" s="58" t="s">
        <v>256</v>
      </c>
      <c r="E216" s="48"/>
      <c r="F216" s="48"/>
      <c r="I216" s="546"/>
      <c r="J216" s="546"/>
      <c r="K216" s="546"/>
      <c r="L216" s="546"/>
    </row>
    <row r="217" spans="2:12" ht="26.25" customHeight="1">
      <c r="B217" s="58" t="s">
        <v>257</v>
      </c>
      <c r="E217" s="48"/>
      <c r="F217" s="48"/>
      <c r="I217" s="546"/>
      <c r="J217" s="546"/>
      <c r="K217" s="546"/>
      <c r="L217" s="546"/>
    </row>
    <row r="218" spans="2:12" ht="26.25" customHeight="1">
      <c r="B218" s="58" t="s">
        <v>258</v>
      </c>
      <c r="E218" s="48"/>
      <c r="F218" s="48"/>
      <c r="I218" s="546"/>
      <c r="J218" s="546"/>
      <c r="K218" s="546"/>
      <c r="L218" s="546"/>
    </row>
    <row r="219" spans="2:12" ht="26.25" customHeight="1">
      <c r="B219" s="58"/>
      <c r="E219" s="48"/>
      <c r="F219" s="48"/>
      <c r="I219" s="546"/>
      <c r="J219" s="546"/>
      <c r="K219" s="546"/>
      <c r="L219" s="546"/>
    </row>
    <row r="220" s="404" customFormat="1" ht="26.25" customHeight="1">
      <c r="B220" s="404" t="s">
        <v>649</v>
      </c>
    </row>
    <row r="221" spans="2:5" s="404" customFormat="1" ht="26.25" customHeight="1">
      <c r="B221" s="404" t="s">
        <v>650</v>
      </c>
      <c r="E221" s="404" t="s">
        <v>651</v>
      </c>
    </row>
    <row r="222" spans="2:5" s="404" customFormat="1" ht="26.25" customHeight="1">
      <c r="B222" s="404" t="s">
        <v>119</v>
      </c>
      <c r="E222" s="404" t="s">
        <v>652</v>
      </c>
    </row>
    <row r="223" spans="2:5" s="404" customFormat="1" ht="26.25" customHeight="1">
      <c r="B223" s="404" t="s">
        <v>654</v>
      </c>
      <c r="E223" s="404" t="s">
        <v>1032</v>
      </c>
    </row>
    <row r="224" ht="26.25" customHeight="1"/>
    <row r="226" spans="1:2" ht="24" customHeight="1">
      <c r="A226" s="255"/>
      <c r="B226" s="256"/>
    </row>
    <row r="227" spans="1:2" ht="24" customHeight="1">
      <c r="A227" s="255"/>
      <c r="B227" s="257"/>
    </row>
  </sheetData>
  <sheetProtection/>
  <mergeCells count="9">
    <mergeCell ref="E6:F6"/>
    <mergeCell ref="G6:H6"/>
    <mergeCell ref="I6:J6"/>
    <mergeCell ref="K6:L6"/>
    <mergeCell ref="A1:L1"/>
    <mergeCell ref="E5:F5"/>
    <mergeCell ref="G5:H5"/>
    <mergeCell ref="I5:J5"/>
    <mergeCell ref="K5:L5"/>
  </mergeCells>
  <printOptions horizontalCentered="1"/>
  <pageMargins left="0.2362204724409449" right="0.15748031496062992" top="0.5511811023622047" bottom="0.4330708661417323" header="0.2755905511811024" footer="0.31496062992125984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AC104"/>
  <sheetViews>
    <sheetView zoomScaleSheetLayoutView="100" zoomScalePageLayoutView="0" workbookViewId="0" topLeftCell="A82">
      <selection activeCell="D87" sqref="D87"/>
    </sheetView>
  </sheetViews>
  <sheetFormatPr defaultColWidth="9.140625" defaultRowHeight="24.75" customHeight="1"/>
  <cols>
    <col min="1" max="1" width="4.00390625" style="15" customWidth="1"/>
    <col min="2" max="2" width="23.7109375" style="15" customWidth="1"/>
    <col min="3" max="3" width="11.421875" style="15" customWidth="1"/>
    <col min="4" max="4" width="11.00390625" style="15" customWidth="1"/>
    <col min="5" max="5" width="11.421875" style="15" customWidth="1"/>
    <col min="6" max="6" width="11.00390625" style="15" customWidth="1"/>
    <col min="7" max="8" width="12.140625" style="15" customWidth="1"/>
    <col min="9" max="9" width="11.421875" style="15" customWidth="1"/>
    <col min="10" max="10" width="11.57421875" style="15" customWidth="1"/>
    <col min="11" max="11" width="0.85546875" style="15" customWidth="1"/>
    <col min="12" max="12" width="9.140625" style="15" customWidth="1"/>
    <col min="13" max="13" width="10.57421875" style="15" customWidth="1"/>
    <col min="14" max="20" width="5.8515625" style="15" customWidth="1"/>
    <col min="21" max="21" width="10.57421875" style="15" customWidth="1"/>
    <col min="22" max="28" width="5.57421875" style="15" customWidth="1"/>
    <col min="29" max="16384" width="9.140625" style="15" customWidth="1"/>
  </cols>
  <sheetData>
    <row r="1" spans="1:10" s="14" customFormat="1" ht="24" customHeight="1">
      <c r="A1" s="671" t="s">
        <v>2</v>
      </c>
      <c r="B1" s="671"/>
      <c r="C1" s="671"/>
      <c r="D1" s="671"/>
      <c r="E1" s="671"/>
      <c r="F1" s="671"/>
      <c r="G1" s="671"/>
      <c r="H1" s="671"/>
      <c r="I1" s="671"/>
      <c r="J1" s="671"/>
    </row>
    <row r="2" ht="24" customHeight="1"/>
    <row r="3" s="113" customFormat="1" ht="24" customHeight="1">
      <c r="A3" s="112" t="s">
        <v>535</v>
      </c>
    </row>
    <row r="4" s="113" customFormat="1" ht="24" customHeight="1">
      <c r="A4" s="112" t="s">
        <v>536</v>
      </c>
    </row>
    <row r="5" spans="1:10" s="113" customFormat="1" ht="24" customHeight="1">
      <c r="A5" s="114"/>
      <c r="B5" s="115" t="s">
        <v>414</v>
      </c>
      <c r="C5" s="115"/>
      <c r="D5" s="115"/>
      <c r="E5" s="115"/>
      <c r="F5" s="115"/>
      <c r="G5" s="115"/>
      <c r="H5" s="115"/>
      <c r="I5" s="115"/>
      <c r="J5" s="115"/>
    </row>
    <row r="6" spans="1:10" ht="24" customHeight="1">
      <c r="A6" s="17" t="s">
        <v>350</v>
      </c>
      <c r="B6" s="106" t="s">
        <v>113</v>
      </c>
      <c r="C6" s="672" t="s">
        <v>771</v>
      </c>
      <c r="D6" s="672"/>
      <c r="E6" s="672" t="s">
        <v>773</v>
      </c>
      <c r="F6" s="672"/>
      <c r="G6" s="673" t="s">
        <v>351</v>
      </c>
      <c r="H6" s="673"/>
      <c r="I6" s="673" t="s">
        <v>352</v>
      </c>
      <c r="J6" s="673"/>
    </row>
    <row r="7" spans="1:10" ht="24" customHeight="1">
      <c r="A7" s="107"/>
      <c r="B7" s="108"/>
      <c r="C7" s="634" t="s">
        <v>354</v>
      </c>
      <c r="D7" s="634"/>
      <c r="E7" s="634" t="s">
        <v>655</v>
      </c>
      <c r="F7" s="634"/>
      <c r="G7" s="635" t="s">
        <v>353</v>
      </c>
      <c r="H7" s="635"/>
      <c r="I7" s="635" t="s">
        <v>353</v>
      </c>
      <c r="J7" s="635"/>
    </row>
    <row r="8" spans="1:10" s="111" customFormat="1" ht="24" customHeight="1">
      <c r="A8" s="109"/>
      <c r="B8" s="110"/>
      <c r="C8" s="221" t="s">
        <v>236</v>
      </c>
      <c r="D8" s="221" t="s">
        <v>141</v>
      </c>
      <c r="E8" s="221" t="s">
        <v>236</v>
      </c>
      <c r="F8" s="221" t="s">
        <v>141</v>
      </c>
      <c r="G8" s="221" t="s">
        <v>236</v>
      </c>
      <c r="H8" s="221" t="s">
        <v>141</v>
      </c>
      <c r="I8" s="221" t="s">
        <v>236</v>
      </c>
      <c r="J8" s="221" t="s">
        <v>141</v>
      </c>
    </row>
    <row r="9" spans="1:13" ht="24" customHeight="1">
      <c r="A9" s="116">
        <v>1</v>
      </c>
      <c r="B9" s="117" t="s">
        <v>211</v>
      </c>
      <c r="L9" s="258"/>
      <c r="M9" s="259"/>
    </row>
    <row r="10" spans="1:13" ht="24" customHeight="1">
      <c r="A10" s="116"/>
      <c r="B10" s="15" t="s">
        <v>210</v>
      </c>
      <c r="L10" s="258"/>
      <c r="M10" s="259"/>
    </row>
    <row r="11" spans="1:10" ht="24" customHeight="1">
      <c r="A11" s="116"/>
      <c r="B11" s="15" t="s">
        <v>215</v>
      </c>
      <c r="C11" s="260">
        <v>60000</v>
      </c>
      <c r="D11" s="260">
        <v>60000</v>
      </c>
      <c r="E11" s="261">
        <v>0.5</v>
      </c>
      <c r="F11" s="261">
        <v>0.5</v>
      </c>
      <c r="G11" s="223">
        <v>265320</v>
      </c>
      <c r="H11" s="223">
        <v>265320</v>
      </c>
      <c r="I11" s="223">
        <v>60000</v>
      </c>
      <c r="J11" s="223">
        <f>45000+30000</f>
        <v>75000</v>
      </c>
    </row>
    <row r="12" spans="1:13" ht="24" customHeight="1">
      <c r="A12" s="116">
        <v>2</v>
      </c>
      <c r="B12" s="117" t="s">
        <v>212</v>
      </c>
      <c r="C12" s="264"/>
      <c r="D12" s="264"/>
      <c r="E12" s="264"/>
      <c r="F12" s="264"/>
      <c r="G12" s="503"/>
      <c r="H12" s="503"/>
      <c r="I12" s="503"/>
      <c r="J12" s="503"/>
      <c r="L12" s="258"/>
      <c r="M12" s="259"/>
    </row>
    <row r="13" spans="2:10" ht="24" customHeight="1">
      <c r="B13" s="15" t="s">
        <v>668</v>
      </c>
      <c r="C13" s="260">
        <v>3000000</v>
      </c>
      <c r="D13" s="260">
        <v>3000000</v>
      </c>
      <c r="E13" s="261">
        <v>0.3</v>
      </c>
      <c r="F13" s="261">
        <v>0.3</v>
      </c>
      <c r="G13" s="223">
        <v>16727150</v>
      </c>
      <c r="H13" s="223">
        <v>16727150</v>
      </c>
      <c r="I13" s="223">
        <v>912390</v>
      </c>
      <c r="J13" s="223">
        <v>1140487.5</v>
      </c>
    </row>
    <row r="14" spans="1:13" ht="24" customHeight="1">
      <c r="A14" s="116">
        <v>3</v>
      </c>
      <c r="B14" s="117" t="s">
        <v>213</v>
      </c>
      <c r="C14" s="264"/>
      <c r="D14" s="264"/>
      <c r="E14" s="264"/>
      <c r="F14" s="264"/>
      <c r="G14" s="503"/>
      <c r="H14" s="503"/>
      <c r="I14" s="503"/>
      <c r="J14" s="503"/>
      <c r="L14" s="258"/>
      <c r="M14" s="259"/>
    </row>
    <row r="15" spans="2:10" ht="24" customHeight="1">
      <c r="B15" s="15" t="s">
        <v>668</v>
      </c>
      <c r="C15" s="260">
        <v>75000</v>
      </c>
      <c r="D15" s="260">
        <v>75000</v>
      </c>
      <c r="E15" s="261">
        <v>0.03</v>
      </c>
      <c r="F15" s="261">
        <v>0.03</v>
      </c>
      <c r="G15" s="223">
        <v>32940</v>
      </c>
      <c r="H15" s="223">
        <v>32940</v>
      </c>
      <c r="I15" s="223">
        <v>5400</v>
      </c>
      <c r="J15" s="223">
        <v>4860</v>
      </c>
    </row>
    <row r="16" spans="1:13" ht="24" customHeight="1">
      <c r="A16" s="116">
        <v>4</v>
      </c>
      <c r="B16" s="117" t="s">
        <v>214</v>
      </c>
      <c r="G16" s="503"/>
      <c r="H16" s="503"/>
      <c r="I16" s="503"/>
      <c r="J16" s="503"/>
      <c r="L16" s="258"/>
      <c r="M16" s="264"/>
    </row>
    <row r="17" spans="1:10" ht="24" customHeight="1">
      <c r="A17" s="116"/>
      <c r="B17" s="15" t="s">
        <v>452</v>
      </c>
      <c r="C17" s="260">
        <v>1647740</v>
      </c>
      <c r="D17" s="260">
        <v>1647740</v>
      </c>
      <c r="E17" s="261">
        <v>0.4</v>
      </c>
      <c r="F17" s="261">
        <v>0.4</v>
      </c>
      <c r="G17" s="226">
        <v>8609338.54</v>
      </c>
      <c r="H17" s="226">
        <v>8609338.54</v>
      </c>
      <c r="I17" s="578" t="s">
        <v>653</v>
      </c>
      <c r="J17" s="578" t="s">
        <v>653</v>
      </c>
    </row>
    <row r="18" spans="1:10" ht="24" customHeight="1">
      <c r="A18" s="116"/>
      <c r="B18" s="119" t="s">
        <v>208</v>
      </c>
      <c r="G18" s="223">
        <f>SUM(G11:G17)</f>
        <v>25634748.54</v>
      </c>
      <c r="H18" s="223">
        <f>SUM(H11:H17)</f>
        <v>25634748.54</v>
      </c>
      <c r="I18" s="223">
        <f>SUM(I11:I17)</f>
        <v>977790</v>
      </c>
      <c r="J18" s="223">
        <f>SUM(J11:J17)</f>
        <v>1220347.5</v>
      </c>
    </row>
    <row r="19" spans="1:10" ht="24" customHeight="1">
      <c r="A19" s="116"/>
      <c r="B19" s="120" t="s">
        <v>216</v>
      </c>
      <c r="G19" s="223">
        <v>-2028644.54</v>
      </c>
      <c r="H19" s="223">
        <v>-9742104.34</v>
      </c>
      <c r="I19" s="242" t="s">
        <v>653</v>
      </c>
      <c r="J19" s="242" t="s">
        <v>653</v>
      </c>
    </row>
    <row r="20" spans="1:10" ht="24" customHeight="1" thickBot="1">
      <c r="A20" s="116"/>
      <c r="B20" s="120" t="s">
        <v>276</v>
      </c>
      <c r="G20" s="230">
        <f>SUM(G18:G19)</f>
        <v>23606104</v>
      </c>
      <c r="H20" s="230">
        <f>SUM(H18:H19)</f>
        <v>15892644.2</v>
      </c>
      <c r="I20" s="230">
        <f>SUM(I18:I19)</f>
        <v>977790</v>
      </c>
      <c r="J20" s="230">
        <f>SUM(J18:J19)</f>
        <v>1220347.5</v>
      </c>
    </row>
    <row r="21" spans="1:10" ht="24" customHeight="1" thickTop="1">
      <c r="A21" s="112" t="s">
        <v>537</v>
      </c>
      <c r="C21" s="260"/>
      <c r="D21" s="260"/>
      <c r="E21" s="261"/>
      <c r="F21" s="261"/>
      <c r="G21" s="223"/>
      <c r="H21" s="223"/>
      <c r="I21" s="233"/>
      <c r="J21" s="233"/>
    </row>
    <row r="22" spans="1:10" ht="24" customHeight="1">
      <c r="A22" s="116"/>
      <c r="B22" s="15" t="s">
        <v>414</v>
      </c>
      <c r="C22" s="260"/>
      <c r="D22" s="260"/>
      <c r="E22" s="261"/>
      <c r="F22" s="261"/>
      <c r="G22" s="262"/>
      <c r="H22" s="262"/>
      <c r="I22" s="504"/>
      <c r="J22" s="504"/>
    </row>
    <row r="23" spans="1:23" s="300" customFormat="1" ht="24" customHeight="1">
      <c r="A23" s="464">
        <v>5</v>
      </c>
      <c r="B23" s="98" t="s">
        <v>277</v>
      </c>
      <c r="L23" s="258"/>
      <c r="M23" s="267"/>
      <c r="N23" s="263"/>
      <c r="O23" s="264"/>
      <c r="P23" s="263"/>
      <c r="Q23" s="260"/>
      <c r="R23" s="263"/>
      <c r="S23" s="261"/>
      <c r="T23" s="263"/>
      <c r="U23" s="262"/>
      <c r="V23" s="263"/>
      <c r="W23" s="263"/>
    </row>
    <row r="24" spans="2:23" s="300" customFormat="1" ht="24" customHeight="1">
      <c r="B24" s="300" t="s">
        <v>169</v>
      </c>
      <c r="C24" s="263" t="s">
        <v>653</v>
      </c>
      <c r="D24" s="260">
        <v>44000</v>
      </c>
      <c r="E24" s="263" t="s">
        <v>653</v>
      </c>
      <c r="F24" s="261">
        <v>9.4</v>
      </c>
      <c r="G24" s="263" t="s">
        <v>653</v>
      </c>
      <c r="H24" s="262">
        <v>10858400</v>
      </c>
      <c r="I24" s="263" t="s">
        <v>653</v>
      </c>
      <c r="J24" s="263" t="s">
        <v>653</v>
      </c>
      <c r="L24" s="258"/>
      <c r="M24" s="267"/>
      <c r="N24" s="263"/>
      <c r="O24" s="264"/>
      <c r="P24" s="264"/>
      <c r="Q24" s="264"/>
      <c r="R24" s="261"/>
      <c r="S24" s="261"/>
      <c r="T24" s="262"/>
      <c r="U24" s="262"/>
      <c r="V24" s="264"/>
      <c r="W24" s="264"/>
    </row>
    <row r="25" spans="1:23" s="300" customFormat="1" ht="24" customHeight="1">
      <c r="A25" s="464">
        <v>6</v>
      </c>
      <c r="B25" s="98" t="s">
        <v>674</v>
      </c>
      <c r="C25" s="263"/>
      <c r="D25" s="264"/>
      <c r="E25" s="579"/>
      <c r="F25" s="261"/>
      <c r="G25" s="262"/>
      <c r="H25" s="262"/>
      <c r="I25" s="264"/>
      <c r="J25" s="264"/>
      <c r="L25" s="258"/>
      <c r="M25" s="267"/>
      <c r="N25" s="263"/>
      <c r="O25" s="264"/>
      <c r="P25" s="258"/>
      <c r="Q25" s="260"/>
      <c r="R25" s="258"/>
      <c r="S25" s="261"/>
      <c r="T25" s="258"/>
      <c r="U25" s="262"/>
      <c r="V25" s="263"/>
      <c r="W25" s="263"/>
    </row>
    <row r="26" spans="2:23" s="300" customFormat="1" ht="24" customHeight="1">
      <c r="B26" s="98" t="s">
        <v>309</v>
      </c>
      <c r="C26" s="263" t="s">
        <v>653</v>
      </c>
      <c r="D26" s="276" t="s">
        <v>533</v>
      </c>
      <c r="E26" s="263" t="s">
        <v>653</v>
      </c>
      <c r="F26" s="261">
        <v>7.5</v>
      </c>
      <c r="G26" s="263" t="s">
        <v>653</v>
      </c>
      <c r="H26" s="262">
        <v>6124200</v>
      </c>
      <c r="I26" s="263" t="s">
        <v>653</v>
      </c>
      <c r="J26" s="263" t="s">
        <v>653</v>
      </c>
      <c r="L26" s="258"/>
      <c r="M26" s="267"/>
      <c r="N26" s="263"/>
      <c r="O26" s="264"/>
      <c r="P26" s="260"/>
      <c r="Q26" s="260"/>
      <c r="R26" s="261"/>
      <c r="S26" s="261"/>
      <c r="T26" s="262"/>
      <c r="U26" s="262"/>
      <c r="V26" s="263"/>
      <c r="W26" s="263"/>
    </row>
    <row r="27" spans="1:23" s="300" customFormat="1" ht="24" customHeight="1">
      <c r="A27" s="464">
        <v>7</v>
      </c>
      <c r="B27" s="502" t="s">
        <v>575</v>
      </c>
      <c r="C27" s="260">
        <v>100000</v>
      </c>
      <c r="D27" s="260">
        <v>100000</v>
      </c>
      <c r="E27" s="261">
        <v>15</v>
      </c>
      <c r="F27" s="261">
        <v>15</v>
      </c>
      <c r="G27" s="262">
        <v>15000000</v>
      </c>
      <c r="H27" s="262">
        <v>15000000</v>
      </c>
      <c r="I27" s="263" t="s">
        <v>653</v>
      </c>
      <c r="J27" s="263" t="s">
        <v>653</v>
      </c>
      <c r="L27" s="258"/>
      <c r="M27" s="268"/>
      <c r="N27" s="269"/>
      <c r="O27" s="264"/>
      <c r="P27" s="260"/>
      <c r="Q27" s="260"/>
      <c r="R27" s="261"/>
      <c r="S27" s="261"/>
      <c r="T27" s="262"/>
      <c r="U27" s="262"/>
      <c r="V27" s="262"/>
      <c r="W27" s="270"/>
    </row>
    <row r="28" spans="1:10" s="300" customFormat="1" ht="24" customHeight="1">
      <c r="A28" s="464">
        <v>8</v>
      </c>
      <c r="B28" s="502" t="s">
        <v>120</v>
      </c>
      <c r="C28" s="260">
        <v>10000</v>
      </c>
      <c r="D28" s="260">
        <v>10000</v>
      </c>
      <c r="E28" s="261">
        <v>10</v>
      </c>
      <c r="F28" s="261">
        <v>10</v>
      </c>
      <c r="G28" s="262">
        <v>1000000</v>
      </c>
      <c r="H28" s="262">
        <v>1000000</v>
      </c>
      <c r="I28" s="263" t="s">
        <v>653</v>
      </c>
      <c r="J28" s="272" t="s">
        <v>653</v>
      </c>
    </row>
    <row r="29" spans="1:10" s="300" customFormat="1" ht="24" customHeight="1">
      <c r="A29" s="464">
        <v>9</v>
      </c>
      <c r="B29" s="502" t="s">
        <v>280</v>
      </c>
      <c r="C29" s="264"/>
      <c r="D29" s="264"/>
      <c r="E29" s="264"/>
      <c r="F29" s="264"/>
      <c r="G29" s="264"/>
      <c r="H29" s="264"/>
      <c r="I29" s="264"/>
      <c r="J29" s="271"/>
    </row>
    <row r="30" spans="1:10" s="300" customFormat="1" ht="24" customHeight="1">
      <c r="A30" s="464"/>
      <c r="B30" s="300" t="s">
        <v>281</v>
      </c>
      <c r="C30" s="260">
        <v>80000</v>
      </c>
      <c r="D30" s="260">
        <v>80000</v>
      </c>
      <c r="E30" s="261">
        <v>9.75</v>
      </c>
      <c r="F30" s="261">
        <v>9.75</v>
      </c>
      <c r="G30" s="262">
        <v>7800000</v>
      </c>
      <c r="H30" s="262">
        <v>7800000</v>
      </c>
      <c r="I30" s="263" t="s">
        <v>653</v>
      </c>
      <c r="J30" s="272" t="s">
        <v>653</v>
      </c>
    </row>
    <row r="31" spans="1:2" s="300" customFormat="1" ht="24" customHeight="1">
      <c r="A31" s="464">
        <v>10</v>
      </c>
      <c r="B31" s="502" t="s">
        <v>287</v>
      </c>
    </row>
    <row r="32" spans="2:10" s="300" customFormat="1" ht="24" customHeight="1">
      <c r="B32" s="300" t="s">
        <v>169</v>
      </c>
      <c r="C32" s="260">
        <v>40000</v>
      </c>
      <c r="D32" s="260">
        <v>40000</v>
      </c>
      <c r="E32" s="261">
        <v>5.63</v>
      </c>
      <c r="F32" s="261">
        <v>5.63</v>
      </c>
      <c r="G32" s="262">
        <v>3000000</v>
      </c>
      <c r="H32" s="262">
        <v>3000000</v>
      </c>
      <c r="I32" s="263" t="s">
        <v>653</v>
      </c>
      <c r="J32" s="263" t="s">
        <v>653</v>
      </c>
    </row>
    <row r="33" spans="1:10" s="300" customFormat="1" ht="24" customHeight="1">
      <c r="A33" s="464">
        <v>11</v>
      </c>
      <c r="B33" s="502" t="s">
        <v>790</v>
      </c>
      <c r="C33" s="260">
        <v>10000</v>
      </c>
      <c r="D33" s="260">
        <v>10000</v>
      </c>
      <c r="E33" s="261">
        <v>3.5</v>
      </c>
      <c r="F33" s="261">
        <v>3.5</v>
      </c>
      <c r="G33" s="262">
        <v>1435000</v>
      </c>
      <c r="H33" s="262">
        <v>1435000</v>
      </c>
      <c r="I33" s="262">
        <v>42000</v>
      </c>
      <c r="J33" s="262">
        <v>52500</v>
      </c>
    </row>
    <row r="34" spans="1:10" s="300" customFormat="1" ht="24" customHeight="1">
      <c r="A34" s="464">
        <v>12</v>
      </c>
      <c r="B34" s="502" t="s">
        <v>1218</v>
      </c>
      <c r="C34" s="260"/>
      <c r="D34" s="260"/>
      <c r="E34" s="261"/>
      <c r="F34" s="261"/>
      <c r="G34" s="262"/>
      <c r="H34" s="262"/>
      <c r="I34" s="262"/>
      <c r="J34" s="262"/>
    </row>
    <row r="35" spans="2:10" s="300" customFormat="1" ht="24" customHeight="1">
      <c r="B35" s="300" t="s">
        <v>189</v>
      </c>
      <c r="C35" s="260">
        <v>130000</v>
      </c>
      <c r="D35" s="260">
        <v>130000</v>
      </c>
      <c r="E35" s="261">
        <v>3.85</v>
      </c>
      <c r="F35" s="261">
        <v>3.85</v>
      </c>
      <c r="G35" s="262">
        <v>5000000</v>
      </c>
      <c r="H35" s="262">
        <v>5000000</v>
      </c>
      <c r="I35" s="263" t="s">
        <v>653</v>
      </c>
      <c r="J35" s="272" t="s">
        <v>653</v>
      </c>
    </row>
    <row r="36" spans="1:10" ht="24" customHeight="1">
      <c r="A36" s="116">
        <v>13</v>
      </c>
      <c r="B36" s="22" t="s">
        <v>576</v>
      </c>
      <c r="C36" s="260">
        <v>20000</v>
      </c>
      <c r="D36" s="260">
        <v>20000</v>
      </c>
      <c r="E36" s="261">
        <v>10</v>
      </c>
      <c r="F36" s="261">
        <v>10</v>
      </c>
      <c r="G36" s="262">
        <v>2000000</v>
      </c>
      <c r="H36" s="262">
        <v>2000000</v>
      </c>
      <c r="I36" s="263" t="s">
        <v>653</v>
      </c>
      <c r="J36" s="272" t="s">
        <v>653</v>
      </c>
    </row>
    <row r="37" spans="1:10" ht="24" customHeight="1">
      <c r="A37" s="116">
        <v>14</v>
      </c>
      <c r="B37" s="502" t="s">
        <v>635</v>
      </c>
      <c r="C37" s="260"/>
      <c r="D37" s="260"/>
      <c r="E37" s="261"/>
      <c r="F37" s="261"/>
      <c r="G37" s="262"/>
      <c r="H37" s="262"/>
      <c r="I37" s="264"/>
      <c r="J37" s="271"/>
    </row>
    <row r="38" spans="2:10" ht="24" customHeight="1">
      <c r="B38" s="300" t="s">
        <v>169</v>
      </c>
      <c r="C38" s="260">
        <v>37000</v>
      </c>
      <c r="D38" s="260">
        <v>5098</v>
      </c>
      <c r="E38" s="465">
        <v>0.004</v>
      </c>
      <c r="F38" s="261">
        <v>0.03</v>
      </c>
      <c r="G38" s="262">
        <f>4062500+12187500</f>
        <v>16250000</v>
      </c>
      <c r="H38" s="262">
        <v>16250000</v>
      </c>
      <c r="I38" s="263" t="s">
        <v>653</v>
      </c>
      <c r="J38" s="272" t="s">
        <v>653</v>
      </c>
    </row>
    <row r="39" spans="2:10" ht="24" customHeight="1">
      <c r="B39" s="300"/>
      <c r="C39" s="260"/>
      <c r="D39" s="260"/>
      <c r="E39" s="465"/>
      <c r="F39" s="261"/>
      <c r="G39" s="262"/>
      <c r="H39" s="262"/>
      <c r="I39" s="263"/>
      <c r="J39" s="272"/>
    </row>
    <row r="40" spans="1:10" ht="26.25" customHeight="1">
      <c r="A40" s="671" t="s">
        <v>299</v>
      </c>
      <c r="B40" s="671"/>
      <c r="C40" s="671"/>
      <c r="D40" s="671"/>
      <c r="E40" s="671"/>
      <c r="F40" s="671"/>
      <c r="G40" s="671"/>
      <c r="H40" s="671"/>
      <c r="I40" s="671"/>
      <c r="J40" s="671"/>
    </row>
    <row r="41" spans="1:8" ht="26.25" customHeight="1">
      <c r="A41" s="121"/>
      <c r="B41" s="22"/>
      <c r="E41" s="274"/>
      <c r="F41" s="274"/>
      <c r="G41" s="266"/>
      <c r="H41" s="266"/>
    </row>
    <row r="42" spans="1:8" ht="26.25" customHeight="1">
      <c r="A42" s="114" t="s">
        <v>537</v>
      </c>
      <c r="B42" s="22"/>
      <c r="E42" s="274"/>
      <c r="F42" s="274"/>
      <c r="G42" s="266"/>
      <c r="H42" s="266"/>
    </row>
    <row r="43" spans="1:10" ht="26.25" customHeight="1">
      <c r="A43" s="17" t="s">
        <v>350</v>
      </c>
      <c r="B43" s="106" t="s">
        <v>113</v>
      </c>
      <c r="C43" s="672" t="s">
        <v>771</v>
      </c>
      <c r="D43" s="672"/>
      <c r="E43" s="672" t="s">
        <v>773</v>
      </c>
      <c r="F43" s="672"/>
      <c r="G43" s="673" t="s">
        <v>351</v>
      </c>
      <c r="H43" s="673"/>
      <c r="I43" s="673" t="s">
        <v>352</v>
      </c>
      <c r="J43" s="673"/>
    </row>
    <row r="44" spans="1:10" ht="26.25" customHeight="1">
      <c r="A44" s="107"/>
      <c r="B44" s="108"/>
      <c r="C44" s="634" t="s">
        <v>354</v>
      </c>
      <c r="D44" s="634"/>
      <c r="E44" s="634" t="s">
        <v>655</v>
      </c>
      <c r="F44" s="634"/>
      <c r="G44" s="635" t="s">
        <v>353</v>
      </c>
      <c r="H44" s="635"/>
      <c r="I44" s="635" t="s">
        <v>353</v>
      </c>
      <c r="J44" s="635"/>
    </row>
    <row r="45" spans="1:10" s="111" customFormat="1" ht="26.25" customHeight="1">
      <c r="A45" s="109"/>
      <c r="B45" s="110"/>
      <c r="C45" s="221" t="s">
        <v>236</v>
      </c>
      <c r="D45" s="221" t="s">
        <v>141</v>
      </c>
      <c r="E45" s="221" t="s">
        <v>236</v>
      </c>
      <c r="F45" s="221" t="s">
        <v>141</v>
      </c>
      <c r="G45" s="221" t="s">
        <v>236</v>
      </c>
      <c r="H45" s="221" t="s">
        <v>141</v>
      </c>
      <c r="I45" s="221" t="s">
        <v>236</v>
      </c>
      <c r="J45" s="221" t="s">
        <v>141</v>
      </c>
    </row>
    <row r="46" spans="1:10" s="111" customFormat="1" ht="26.25" customHeight="1">
      <c r="A46" s="116">
        <v>15</v>
      </c>
      <c r="B46" s="22" t="s">
        <v>577</v>
      </c>
      <c r="C46" s="260">
        <v>780000</v>
      </c>
      <c r="D46" s="260">
        <v>780000</v>
      </c>
      <c r="E46" s="261">
        <v>0.58</v>
      </c>
      <c r="F46" s="261">
        <v>0.58</v>
      </c>
      <c r="G46" s="262">
        <v>4500000</v>
      </c>
      <c r="H46" s="262">
        <v>4500000</v>
      </c>
      <c r="I46" s="262">
        <v>540000</v>
      </c>
      <c r="J46" s="262">
        <v>450000</v>
      </c>
    </row>
    <row r="47" spans="1:10" s="111" customFormat="1" ht="26.25" customHeight="1">
      <c r="A47" s="116">
        <v>16</v>
      </c>
      <c r="B47" s="22" t="s">
        <v>288</v>
      </c>
      <c r="C47" s="260"/>
      <c r="D47" s="260"/>
      <c r="E47" s="264"/>
      <c r="F47" s="264"/>
      <c r="G47" s="264"/>
      <c r="H47" s="264"/>
      <c r="I47" s="264"/>
      <c r="J47" s="271"/>
    </row>
    <row r="48" spans="1:10" s="111" customFormat="1" ht="26.25" customHeight="1">
      <c r="A48" s="116"/>
      <c r="B48" s="15" t="s">
        <v>189</v>
      </c>
      <c r="C48" s="260">
        <v>180000</v>
      </c>
      <c r="D48" s="260">
        <v>180000</v>
      </c>
      <c r="E48" s="261">
        <v>1.08</v>
      </c>
      <c r="F48" s="261">
        <v>1.08</v>
      </c>
      <c r="G48" s="262">
        <v>1950000</v>
      </c>
      <c r="H48" s="262">
        <v>1950000</v>
      </c>
      <c r="I48" s="263" t="s">
        <v>653</v>
      </c>
      <c r="J48" s="272" t="s">
        <v>653</v>
      </c>
    </row>
    <row r="49" spans="1:10" ht="26.25" customHeight="1">
      <c r="A49" s="116">
        <v>17</v>
      </c>
      <c r="B49" s="22" t="s">
        <v>308</v>
      </c>
      <c r="C49" s="260"/>
      <c r="D49" s="260"/>
      <c r="E49" s="261"/>
      <c r="F49" s="261"/>
      <c r="G49" s="262"/>
      <c r="H49" s="262"/>
      <c r="I49" s="264"/>
      <c r="J49" s="271"/>
    </row>
    <row r="50" spans="1:10" ht="26.25" customHeight="1">
      <c r="A50" s="116"/>
      <c r="B50" s="15" t="s">
        <v>309</v>
      </c>
      <c r="C50" s="263" t="s">
        <v>653</v>
      </c>
      <c r="D50" s="260">
        <v>250000</v>
      </c>
      <c r="E50" s="263" t="s">
        <v>653</v>
      </c>
      <c r="F50" s="261">
        <v>1</v>
      </c>
      <c r="G50" s="263" t="s">
        <v>653</v>
      </c>
      <c r="H50" s="262">
        <v>2500000</v>
      </c>
      <c r="I50" s="263" t="s">
        <v>653</v>
      </c>
      <c r="J50" s="272" t="s">
        <v>653</v>
      </c>
    </row>
    <row r="51" spans="1:2" ht="26.25" customHeight="1">
      <c r="A51" s="116">
        <v>18</v>
      </c>
      <c r="B51" s="22" t="s">
        <v>310</v>
      </c>
    </row>
    <row r="52" spans="1:10" ht="26.25" customHeight="1">
      <c r="A52" s="116"/>
      <c r="B52" s="117" t="s">
        <v>311</v>
      </c>
      <c r="C52" s="260">
        <v>35000</v>
      </c>
      <c r="D52" s="260">
        <v>35000</v>
      </c>
      <c r="E52" s="261">
        <v>9.79</v>
      </c>
      <c r="F52" s="261">
        <v>9.79</v>
      </c>
      <c r="G52" s="262">
        <v>3427500</v>
      </c>
      <c r="H52" s="262">
        <v>3427500</v>
      </c>
      <c r="I52" s="263" t="s">
        <v>653</v>
      </c>
      <c r="J52" s="272" t="s">
        <v>653</v>
      </c>
    </row>
    <row r="53" spans="1:2" ht="26.25" customHeight="1">
      <c r="A53" s="116">
        <v>19</v>
      </c>
      <c r="B53" s="22" t="s">
        <v>312</v>
      </c>
    </row>
    <row r="54" spans="1:10" ht="26.25" customHeight="1">
      <c r="A54" s="116"/>
      <c r="B54" s="117" t="s">
        <v>548</v>
      </c>
      <c r="C54" s="260">
        <v>45000</v>
      </c>
      <c r="D54" s="260">
        <v>45000</v>
      </c>
      <c r="E54" s="261">
        <v>3.78</v>
      </c>
      <c r="F54" s="261">
        <v>3.78</v>
      </c>
      <c r="G54" s="262">
        <v>1700000</v>
      </c>
      <c r="H54" s="262">
        <v>1700000</v>
      </c>
      <c r="I54" s="263" t="s">
        <v>653</v>
      </c>
      <c r="J54" s="272" t="s">
        <v>653</v>
      </c>
    </row>
    <row r="55" spans="1:10" ht="26.25" customHeight="1">
      <c r="A55" s="116">
        <v>20</v>
      </c>
      <c r="B55" s="22" t="s">
        <v>578</v>
      </c>
      <c r="C55" s="260">
        <v>35000</v>
      </c>
      <c r="D55" s="260">
        <v>35000</v>
      </c>
      <c r="E55" s="261">
        <v>3.83</v>
      </c>
      <c r="F55" s="261">
        <v>3.83</v>
      </c>
      <c r="G55" s="262">
        <v>1340000</v>
      </c>
      <c r="H55" s="262">
        <v>1340000</v>
      </c>
      <c r="I55" s="262">
        <v>201000</v>
      </c>
      <c r="J55" s="270">
        <v>294800</v>
      </c>
    </row>
    <row r="56" spans="1:10" ht="26.25" customHeight="1">
      <c r="A56" s="116">
        <v>21</v>
      </c>
      <c r="B56" s="22" t="s">
        <v>579</v>
      </c>
      <c r="C56" s="260">
        <v>120000</v>
      </c>
      <c r="D56" s="260">
        <v>60000</v>
      </c>
      <c r="E56" s="261">
        <v>1.25</v>
      </c>
      <c r="F56" s="261">
        <v>2.5</v>
      </c>
      <c r="G56" s="262">
        <v>1500000</v>
      </c>
      <c r="H56" s="262">
        <v>1500000</v>
      </c>
      <c r="I56" s="263" t="s">
        <v>653</v>
      </c>
      <c r="J56" s="263" t="s">
        <v>653</v>
      </c>
    </row>
    <row r="57" spans="1:10" ht="26.25" customHeight="1">
      <c r="A57" s="116">
        <v>22</v>
      </c>
      <c r="B57" s="22" t="s">
        <v>549</v>
      </c>
      <c r="C57" s="260">
        <v>538671</v>
      </c>
      <c r="D57" s="260">
        <v>538671</v>
      </c>
      <c r="E57" s="261">
        <v>0.74</v>
      </c>
      <c r="F57" s="261">
        <v>0.74</v>
      </c>
      <c r="G57" s="262">
        <v>4100000</v>
      </c>
      <c r="H57" s="262">
        <v>4100000</v>
      </c>
      <c r="I57" s="263" t="s">
        <v>653</v>
      </c>
      <c r="J57" s="263" t="s">
        <v>653</v>
      </c>
    </row>
    <row r="58" spans="1:10" ht="26.25" customHeight="1">
      <c r="A58" s="116">
        <v>23</v>
      </c>
      <c r="B58" s="22" t="s">
        <v>581</v>
      </c>
      <c r="C58" s="260">
        <v>450000</v>
      </c>
      <c r="D58" s="260">
        <v>450000</v>
      </c>
      <c r="E58" s="261">
        <v>0.44</v>
      </c>
      <c r="F58" s="261">
        <v>0.44</v>
      </c>
      <c r="G58" s="262">
        <v>3000000</v>
      </c>
      <c r="H58" s="262">
        <v>3000000</v>
      </c>
      <c r="I58" s="263" t="s">
        <v>653</v>
      </c>
      <c r="J58" s="263" t="s">
        <v>653</v>
      </c>
    </row>
    <row r="59" spans="1:29" ht="26.25" customHeight="1">
      <c r="A59" s="116">
        <v>24</v>
      </c>
      <c r="B59" s="22" t="s">
        <v>643</v>
      </c>
      <c r="C59" s="260">
        <v>35000</v>
      </c>
      <c r="D59" s="260">
        <v>35000</v>
      </c>
      <c r="E59" s="261">
        <v>4</v>
      </c>
      <c r="F59" s="261">
        <v>4</v>
      </c>
      <c r="G59" s="262">
        <v>8400000</v>
      </c>
      <c r="H59" s="262">
        <v>8400000</v>
      </c>
      <c r="I59" s="262">
        <v>1471400</v>
      </c>
      <c r="J59" s="262">
        <v>420000</v>
      </c>
      <c r="V59" s="260"/>
      <c r="W59" s="260"/>
      <c r="X59" s="264"/>
      <c r="Y59" s="264"/>
      <c r="Z59" s="264"/>
      <c r="AA59" s="264"/>
      <c r="AB59" s="264"/>
      <c r="AC59" s="271"/>
    </row>
    <row r="60" spans="1:10" ht="26.25" customHeight="1">
      <c r="A60" s="116">
        <v>25</v>
      </c>
      <c r="B60" s="22" t="s">
        <v>582</v>
      </c>
      <c r="C60" s="260">
        <v>296250</v>
      </c>
      <c r="D60" s="260">
        <v>296250</v>
      </c>
      <c r="E60" s="261">
        <v>0.08</v>
      </c>
      <c r="F60" s="261">
        <v>0.08</v>
      </c>
      <c r="G60" s="262">
        <v>1500000</v>
      </c>
      <c r="H60" s="262">
        <v>1500000</v>
      </c>
      <c r="I60" s="263" t="s">
        <v>653</v>
      </c>
      <c r="J60" s="272" t="s">
        <v>653</v>
      </c>
    </row>
    <row r="61" spans="1:29" ht="26.25" customHeight="1">
      <c r="A61" s="116">
        <v>26</v>
      </c>
      <c r="B61" s="22" t="s">
        <v>763</v>
      </c>
      <c r="C61" s="118"/>
      <c r="D61" s="118"/>
      <c r="E61" s="274"/>
      <c r="F61" s="274"/>
      <c r="G61" s="266"/>
      <c r="H61" s="266"/>
      <c r="I61" s="275"/>
      <c r="J61" s="275"/>
      <c r="V61" s="260"/>
      <c r="W61" s="260"/>
      <c r="X61" s="264"/>
      <c r="Y61" s="264"/>
      <c r="Z61" s="264"/>
      <c r="AA61" s="264"/>
      <c r="AB61" s="264"/>
      <c r="AC61" s="271"/>
    </row>
    <row r="62" spans="1:10" ht="26.25" customHeight="1">
      <c r="A62" s="116"/>
      <c r="B62" s="15" t="s">
        <v>764</v>
      </c>
      <c r="C62" s="118"/>
      <c r="D62" s="118"/>
      <c r="E62" s="274"/>
      <c r="F62" s="274"/>
      <c r="G62" s="266"/>
      <c r="H62" s="266"/>
      <c r="I62" s="275"/>
      <c r="J62" s="275"/>
    </row>
    <row r="63" spans="1:10" ht="26.25" customHeight="1">
      <c r="A63" s="116"/>
      <c r="B63" s="15" t="s">
        <v>1060</v>
      </c>
      <c r="C63" s="260">
        <v>320325</v>
      </c>
      <c r="D63" s="260">
        <v>320325</v>
      </c>
      <c r="E63" s="261">
        <v>0.02</v>
      </c>
      <c r="F63" s="261">
        <v>0.02</v>
      </c>
      <c r="G63" s="262">
        <v>520000</v>
      </c>
      <c r="H63" s="262">
        <v>520000</v>
      </c>
      <c r="I63" s="263" t="s">
        <v>653</v>
      </c>
      <c r="J63" s="272" t="s">
        <v>653</v>
      </c>
    </row>
    <row r="64" spans="1:10" ht="26.25" customHeight="1">
      <c r="A64" s="116">
        <v>27</v>
      </c>
      <c r="B64" s="22" t="s">
        <v>313</v>
      </c>
      <c r="C64" s="260"/>
      <c r="D64" s="260"/>
      <c r="E64" s="261"/>
      <c r="F64" s="261"/>
      <c r="G64" s="262"/>
      <c r="H64" s="262"/>
      <c r="I64" s="263"/>
      <c r="J64" s="272"/>
    </row>
    <row r="65" spans="1:10" ht="26.25" customHeight="1">
      <c r="A65" s="116"/>
      <c r="B65" s="117" t="s">
        <v>311</v>
      </c>
      <c r="C65" s="260">
        <v>80000</v>
      </c>
      <c r="D65" s="260">
        <v>80000</v>
      </c>
      <c r="E65" s="261">
        <v>1.5</v>
      </c>
      <c r="F65" s="261">
        <v>1.5</v>
      </c>
      <c r="G65" s="262">
        <v>1200000</v>
      </c>
      <c r="H65" s="262">
        <v>1200000</v>
      </c>
      <c r="I65" s="262">
        <v>72000</v>
      </c>
      <c r="J65" s="262">
        <v>24000</v>
      </c>
    </row>
    <row r="66" spans="1:10" s="300" customFormat="1" ht="26.25" customHeight="1">
      <c r="A66" s="116">
        <v>28</v>
      </c>
      <c r="B66" s="22" t="s">
        <v>583</v>
      </c>
      <c r="C66" s="260">
        <v>450000</v>
      </c>
      <c r="D66" s="260">
        <v>450000</v>
      </c>
      <c r="E66" s="261">
        <v>0.67</v>
      </c>
      <c r="F66" s="261">
        <v>0.67</v>
      </c>
      <c r="G66" s="262">
        <v>3000000</v>
      </c>
      <c r="H66" s="262">
        <v>3000000</v>
      </c>
      <c r="I66" s="263" t="s">
        <v>653</v>
      </c>
      <c r="J66" s="273">
        <v>600000</v>
      </c>
    </row>
    <row r="67" spans="1:2" ht="26.25" customHeight="1">
      <c r="A67" s="116">
        <v>29</v>
      </c>
      <c r="B67" s="22" t="s">
        <v>314</v>
      </c>
    </row>
    <row r="68" spans="2:10" ht="26.25" customHeight="1">
      <c r="B68" s="117" t="s">
        <v>311</v>
      </c>
      <c r="C68" s="260">
        <v>426530</v>
      </c>
      <c r="D68" s="260">
        <v>426530</v>
      </c>
      <c r="E68" s="261">
        <v>0.71</v>
      </c>
      <c r="F68" s="261">
        <v>0.71</v>
      </c>
      <c r="G68" s="262">
        <v>3010800</v>
      </c>
      <c r="H68" s="262">
        <v>3010800</v>
      </c>
      <c r="I68" s="277">
        <v>1811218.99</v>
      </c>
      <c r="J68" s="277">
        <v>1128999.61</v>
      </c>
    </row>
    <row r="69" spans="1:2" ht="26.25" customHeight="1">
      <c r="A69" s="116">
        <v>30</v>
      </c>
      <c r="B69" s="22" t="s">
        <v>315</v>
      </c>
    </row>
    <row r="70" spans="1:2" ht="26.25" customHeight="1">
      <c r="A70" s="116"/>
      <c r="B70" s="117" t="s">
        <v>316</v>
      </c>
    </row>
    <row r="71" spans="1:10" ht="26.25" customHeight="1">
      <c r="A71" s="116"/>
      <c r="B71" s="117" t="s">
        <v>550</v>
      </c>
      <c r="C71" s="260">
        <v>887350</v>
      </c>
      <c r="D71" s="260">
        <v>857350</v>
      </c>
      <c r="E71" s="261">
        <v>0.7</v>
      </c>
      <c r="F71" s="261">
        <v>0.7</v>
      </c>
      <c r="G71" s="262">
        <v>6250000</v>
      </c>
      <c r="H71" s="262">
        <v>6250000</v>
      </c>
      <c r="I71" s="263" t="s">
        <v>653</v>
      </c>
      <c r="J71" s="272" t="s">
        <v>653</v>
      </c>
    </row>
    <row r="72" spans="1:2" ht="26.25" customHeight="1">
      <c r="A72" s="116">
        <v>31</v>
      </c>
      <c r="B72" s="22" t="s">
        <v>319</v>
      </c>
    </row>
    <row r="73" spans="2:10" ht="26.25" customHeight="1">
      <c r="B73" s="117" t="s">
        <v>311</v>
      </c>
      <c r="C73" s="260">
        <v>60000</v>
      </c>
      <c r="D73" s="260">
        <v>60000</v>
      </c>
      <c r="E73" s="261">
        <v>1.67</v>
      </c>
      <c r="F73" s="261">
        <v>1.67</v>
      </c>
      <c r="G73" s="262">
        <v>1000000</v>
      </c>
      <c r="H73" s="262">
        <v>1000000</v>
      </c>
      <c r="I73" s="276">
        <v>50000</v>
      </c>
      <c r="J73" s="276">
        <v>50000</v>
      </c>
    </row>
    <row r="74" spans="1:10" ht="26.25" customHeight="1">
      <c r="A74" s="116"/>
      <c r="B74" s="117"/>
      <c r="C74" s="260"/>
      <c r="D74" s="260"/>
      <c r="E74" s="261"/>
      <c r="F74" s="261"/>
      <c r="G74" s="262"/>
      <c r="H74" s="262"/>
      <c r="I74" s="263"/>
      <c r="J74" s="272"/>
    </row>
    <row r="75" spans="1:10" ht="28.5" customHeight="1">
      <c r="A75" s="671" t="s">
        <v>538</v>
      </c>
      <c r="B75" s="671"/>
      <c r="C75" s="671"/>
      <c r="D75" s="671"/>
      <c r="E75" s="671"/>
      <c r="F75" s="671"/>
      <c r="G75" s="671"/>
      <c r="H75" s="671"/>
      <c r="I75" s="671"/>
      <c r="J75" s="671"/>
    </row>
    <row r="76" spans="1:10" ht="28.5" customHeight="1">
      <c r="A76" s="595"/>
      <c r="B76" s="595"/>
      <c r="C76" s="595"/>
      <c r="D76" s="595"/>
      <c r="E76" s="595"/>
      <c r="F76" s="595"/>
      <c r="G76" s="595"/>
      <c r="H76" s="595"/>
      <c r="I76" s="595"/>
      <c r="J76" s="595"/>
    </row>
    <row r="77" spans="1:8" ht="28.5" customHeight="1">
      <c r="A77" s="114" t="s">
        <v>537</v>
      </c>
      <c r="B77" s="22"/>
      <c r="E77" s="274"/>
      <c r="F77" s="274"/>
      <c r="G77" s="266"/>
      <c r="H77" s="266"/>
    </row>
    <row r="78" spans="1:10" ht="28.5" customHeight="1">
      <c r="A78" s="17" t="s">
        <v>350</v>
      </c>
      <c r="B78" s="106" t="s">
        <v>113</v>
      </c>
      <c r="C78" s="672" t="s">
        <v>771</v>
      </c>
      <c r="D78" s="672"/>
      <c r="E78" s="672" t="s">
        <v>773</v>
      </c>
      <c r="F78" s="672"/>
      <c r="G78" s="673" t="s">
        <v>351</v>
      </c>
      <c r="H78" s="673"/>
      <c r="I78" s="673" t="s">
        <v>352</v>
      </c>
      <c r="J78" s="673"/>
    </row>
    <row r="79" spans="1:10" ht="28.5" customHeight="1">
      <c r="A79" s="107"/>
      <c r="B79" s="108"/>
      <c r="C79" s="634" t="s">
        <v>354</v>
      </c>
      <c r="D79" s="634"/>
      <c r="E79" s="634" t="s">
        <v>655</v>
      </c>
      <c r="F79" s="634"/>
      <c r="G79" s="635" t="s">
        <v>353</v>
      </c>
      <c r="H79" s="635"/>
      <c r="I79" s="635" t="s">
        <v>353</v>
      </c>
      <c r="J79" s="635"/>
    </row>
    <row r="80" spans="1:10" ht="28.5" customHeight="1">
      <c r="A80" s="109"/>
      <c r="B80" s="110"/>
      <c r="C80" s="221" t="s">
        <v>236</v>
      </c>
      <c r="D80" s="221" t="s">
        <v>141</v>
      </c>
      <c r="E80" s="221" t="s">
        <v>236</v>
      </c>
      <c r="F80" s="221" t="s">
        <v>141</v>
      </c>
      <c r="G80" s="221" t="s">
        <v>236</v>
      </c>
      <c r="H80" s="221" t="s">
        <v>141</v>
      </c>
      <c r="I80" s="221" t="s">
        <v>236</v>
      </c>
      <c r="J80" s="221" t="s">
        <v>141</v>
      </c>
    </row>
    <row r="81" spans="1:2" ht="28.5" customHeight="1">
      <c r="A81" s="116">
        <v>32</v>
      </c>
      <c r="B81" s="22" t="s">
        <v>321</v>
      </c>
    </row>
    <row r="82" spans="1:10" ht="28.5" customHeight="1">
      <c r="A82" s="464"/>
      <c r="B82" s="466" t="s">
        <v>311</v>
      </c>
      <c r="C82" s="260">
        <v>350000</v>
      </c>
      <c r="D82" s="260">
        <v>350000</v>
      </c>
      <c r="E82" s="261">
        <v>0.06</v>
      </c>
      <c r="F82" s="261">
        <v>0.06</v>
      </c>
      <c r="G82" s="262">
        <v>200000</v>
      </c>
      <c r="H82" s="262">
        <v>200000</v>
      </c>
      <c r="I82" s="263" t="s">
        <v>653</v>
      </c>
      <c r="J82" s="272" t="s">
        <v>653</v>
      </c>
    </row>
    <row r="83" spans="1:10" s="111" customFormat="1" ht="28.5" customHeight="1">
      <c r="A83" s="116">
        <v>33</v>
      </c>
      <c r="B83" s="22" t="s">
        <v>584</v>
      </c>
      <c r="C83" s="260">
        <v>142000</v>
      </c>
      <c r="D83" s="260">
        <v>142000</v>
      </c>
      <c r="E83" s="261">
        <v>1.76</v>
      </c>
      <c r="F83" s="261">
        <v>1.76</v>
      </c>
      <c r="G83" s="262">
        <v>2500000</v>
      </c>
      <c r="H83" s="262">
        <v>2500000</v>
      </c>
      <c r="I83" s="263" t="s">
        <v>653</v>
      </c>
      <c r="J83" s="263" t="s">
        <v>653</v>
      </c>
    </row>
    <row r="84" spans="1:2" ht="28.5" customHeight="1">
      <c r="A84" s="116">
        <v>34</v>
      </c>
      <c r="B84" s="22" t="s">
        <v>322</v>
      </c>
    </row>
    <row r="85" spans="2:10" ht="28.5" customHeight="1">
      <c r="B85" s="117" t="s">
        <v>311</v>
      </c>
      <c r="C85" s="260">
        <v>15000</v>
      </c>
      <c r="D85" s="260">
        <v>15000</v>
      </c>
      <c r="E85" s="261">
        <v>7</v>
      </c>
      <c r="F85" s="261">
        <v>7</v>
      </c>
      <c r="G85" s="262">
        <v>1050000</v>
      </c>
      <c r="H85" s="262">
        <v>1050000</v>
      </c>
      <c r="I85" s="262">
        <v>125580</v>
      </c>
      <c r="J85" s="262">
        <v>71190</v>
      </c>
    </row>
    <row r="86" spans="1:10" ht="28.5" customHeight="1">
      <c r="A86" s="116">
        <v>35</v>
      </c>
      <c r="B86" s="22" t="s">
        <v>323</v>
      </c>
      <c r="C86" s="260"/>
      <c r="D86" s="260"/>
      <c r="E86" s="261"/>
      <c r="F86" s="261"/>
      <c r="G86" s="262"/>
      <c r="H86" s="262"/>
      <c r="I86" s="264"/>
      <c r="J86" s="271"/>
    </row>
    <row r="87" spans="2:10" ht="28.5" customHeight="1">
      <c r="B87" s="117" t="s">
        <v>324</v>
      </c>
      <c r="C87" s="260">
        <v>6000</v>
      </c>
      <c r="D87" s="260">
        <v>6000</v>
      </c>
      <c r="E87" s="261">
        <v>7.5</v>
      </c>
      <c r="F87" s="261">
        <v>7.5</v>
      </c>
      <c r="G87" s="262">
        <v>450000</v>
      </c>
      <c r="H87" s="262">
        <v>450000</v>
      </c>
      <c r="I87" s="263" t="s">
        <v>653</v>
      </c>
      <c r="J87" s="272" t="s">
        <v>653</v>
      </c>
    </row>
    <row r="88" spans="1:2" ht="28.5" customHeight="1">
      <c r="A88" s="116">
        <v>36</v>
      </c>
      <c r="B88" s="22" t="s">
        <v>84</v>
      </c>
    </row>
    <row r="89" spans="2:10" ht="28.5" customHeight="1">
      <c r="B89" s="117" t="s">
        <v>311</v>
      </c>
      <c r="C89" s="260">
        <v>10000</v>
      </c>
      <c r="D89" s="260">
        <v>10000</v>
      </c>
      <c r="E89" s="261">
        <v>11</v>
      </c>
      <c r="F89" s="261">
        <v>11</v>
      </c>
      <c r="G89" s="262">
        <v>1100000</v>
      </c>
      <c r="H89" s="262">
        <v>1100000</v>
      </c>
      <c r="I89" s="263" t="s">
        <v>653</v>
      </c>
      <c r="J89" s="272" t="s">
        <v>653</v>
      </c>
    </row>
    <row r="90" spans="1:10" ht="28.5" customHeight="1">
      <c r="A90" s="116">
        <v>37</v>
      </c>
      <c r="B90" s="22" t="s">
        <v>765</v>
      </c>
      <c r="C90" s="278" t="s">
        <v>1244</v>
      </c>
      <c r="D90" s="278" t="s">
        <v>1245</v>
      </c>
      <c r="E90" s="261">
        <v>18.33</v>
      </c>
      <c r="F90" s="261">
        <v>18.33</v>
      </c>
      <c r="G90" s="262">
        <f>1997600</f>
        <v>1997600</v>
      </c>
      <c r="H90" s="262">
        <v>1997600</v>
      </c>
      <c r="I90" s="263" t="s">
        <v>653</v>
      </c>
      <c r="J90" s="272" t="s">
        <v>653</v>
      </c>
    </row>
    <row r="91" spans="1:10" ht="28.5" customHeight="1">
      <c r="A91" s="116">
        <v>38</v>
      </c>
      <c r="B91" s="22" t="s">
        <v>325</v>
      </c>
      <c r="C91" s="260"/>
      <c r="D91" s="260"/>
      <c r="E91" s="264"/>
      <c r="F91" s="264"/>
      <c r="G91" s="264"/>
      <c r="H91" s="264"/>
      <c r="I91" s="264"/>
      <c r="J91" s="271"/>
    </row>
    <row r="92" spans="1:10" ht="28.5" customHeight="1">
      <c r="A92" s="116"/>
      <c r="B92" s="117" t="s">
        <v>318</v>
      </c>
      <c r="C92" s="260">
        <v>160000</v>
      </c>
      <c r="D92" s="260">
        <v>160000</v>
      </c>
      <c r="E92" s="261">
        <v>6.45</v>
      </c>
      <c r="F92" s="261">
        <v>6.45</v>
      </c>
      <c r="G92" s="262">
        <v>10315790</v>
      </c>
      <c r="H92" s="262">
        <v>10315790</v>
      </c>
      <c r="I92" s="262">
        <v>128947.37</v>
      </c>
      <c r="J92" s="262">
        <v>103157.9</v>
      </c>
    </row>
    <row r="93" spans="1:10" ht="28.5" customHeight="1">
      <c r="A93" s="116">
        <v>39</v>
      </c>
      <c r="B93" s="117" t="s">
        <v>534</v>
      </c>
      <c r="C93" s="260">
        <v>39900</v>
      </c>
      <c r="D93" s="260">
        <v>39900</v>
      </c>
      <c r="E93" s="261">
        <v>12.53</v>
      </c>
      <c r="F93" s="261">
        <v>12.53</v>
      </c>
      <c r="G93" s="262">
        <v>5000000</v>
      </c>
      <c r="H93" s="263">
        <v>5000000</v>
      </c>
      <c r="I93" s="263" t="s">
        <v>653</v>
      </c>
      <c r="J93" s="272" t="s">
        <v>653</v>
      </c>
    </row>
    <row r="94" spans="1:10" ht="28.5" customHeight="1">
      <c r="A94" s="116"/>
      <c r="B94" s="22" t="s">
        <v>208</v>
      </c>
      <c r="C94" s="264"/>
      <c r="D94" s="264"/>
      <c r="E94" s="264"/>
      <c r="F94" s="264"/>
      <c r="G94" s="279">
        <f>SUM(G24:G38,G46:G73,G82:G93)</f>
        <v>120496690</v>
      </c>
      <c r="H94" s="279">
        <f>SUM(H24:H38,H46:H73,H82:H93)</f>
        <v>139979290</v>
      </c>
      <c r="I94" s="279">
        <f>SUM(I24:I38,I46:I73,I82:I93)</f>
        <v>4442146.36</v>
      </c>
      <c r="J94" s="279">
        <f>SUM(J24:J38,J46:J73,J82:J93)</f>
        <v>3194647.5100000002</v>
      </c>
    </row>
    <row r="95" spans="1:10" ht="28.5" customHeight="1">
      <c r="A95" s="116"/>
      <c r="B95" s="21" t="s">
        <v>209</v>
      </c>
      <c r="C95" s="264"/>
      <c r="D95" s="264"/>
      <c r="E95" s="264"/>
      <c r="F95" s="264"/>
      <c r="G95" s="280">
        <v>-64392700.93</v>
      </c>
      <c r="H95" s="280">
        <f>-65445615</f>
        <v>-65445615</v>
      </c>
      <c r="I95" s="263" t="s">
        <v>653</v>
      </c>
      <c r="J95" s="263" t="s">
        <v>653</v>
      </c>
    </row>
    <row r="96" spans="1:10" ht="28.5" customHeight="1" thickBot="1">
      <c r="A96" s="116"/>
      <c r="B96" s="21" t="s">
        <v>332</v>
      </c>
      <c r="C96" s="264"/>
      <c r="D96" s="264"/>
      <c r="E96" s="264"/>
      <c r="F96" s="264"/>
      <c r="G96" s="265">
        <f>SUM(G94:G95)</f>
        <v>56103989.07</v>
      </c>
      <c r="H96" s="265">
        <f>SUM(H94:H95)</f>
        <v>74533675</v>
      </c>
      <c r="I96" s="265">
        <f>SUM(I94:I95)</f>
        <v>4442146.36</v>
      </c>
      <c r="J96" s="265">
        <f>SUM(J94:J95)</f>
        <v>3194647.5100000002</v>
      </c>
    </row>
    <row r="97" spans="1:10" ht="28.5" customHeight="1" thickBot="1" thickTop="1">
      <c r="A97" s="116"/>
      <c r="B97" s="23" t="s">
        <v>117</v>
      </c>
      <c r="C97" s="264"/>
      <c r="D97" s="264"/>
      <c r="E97" s="264" t="s">
        <v>791</v>
      </c>
      <c r="F97" s="264"/>
      <c r="G97" s="281">
        <f>+G20+G96</f>
        <v>79710093.07</v>
      </c>
      <c r="H97" s="281">
        <f>+H20+H96</f>
        <v>90426319.2</v>
      </c>
      <c r="I97" s="281">
        <f>+I20+I96</f>
        <v>5419936.36</v>
      </c>
      <c r="J97" s="281">
        <f>+J20+J96</f>
        <v>4414995.01</v>
      </c>
    </row>
    <row r="98" ht="28.5" customHeight="1" thickTop="1">
      <c r="A98" s="116"/>
    </row>
    <row r="99" ht="24.75" customHeight="1">
      <c r="A99" s="116"/>
    </row>
    <row r="100" ht="24.75" customHeight="1">
      <c r="A100" s="116"/>
    </row>
    <row r="101" ht="24.75" customHeight="1">
      <c r="A101" s="116"/>
    </row>
    <row r="102" ht="24.75" customHeight="1">
      <c r="A102" s="116"/>
    </row>
    <row r="103" ht="24.75" customHeight="1">
      <c r="A103" s="116"/>
    </row>
    <row r="104" ht="24.75" customHeight="1">
      <c r="A104" s="116"/>
    </row>
  </sheetData>
  <sheetProtection/>
  <mergeCells count="27">
    <mergeCell ref="C79:D79"/>
    <mergeCell ref="E79:F79"/>
    <mergeCell ref="G79:H79"/>
    <mergeCell ref="I79:J79"/>
    <mergeCell ref="A75:J75"/>
    <mergeCell ref="C78:D78"/>
    <mergeCell ref="E78:F78"/>
    <mergeCell ref="G78:H78"/>
    <mergeCell ref="I78:J78"/>
    <mergeCell ref="C44:D44"/>
    <mergeCell ref="E44:F44"/>
    <mergeCell ref="G44:H44"/>
    <mergeCell ref="I44:J44"/>
    <mergeCell ref="A40:J40"/>
    <mergeCell ref="C43:D43"/>
    <mergeCell ref="E43:F43"/>
    <mergeCell ref="G43:H43"/>
    <mergeCell ref="I43:J43"/>
    <mergeCell ref="C7:D7"/>
    <mergeCell ref="E7:F7"/>
    <mergeCell ref="G7:H7"/>
    <mergeCell ref="I7:J7"/>
    <mergeCell ref="A1:J1"/>
    <mergeCell ref="C6:D6"/>
    <mergeCell ref="E6:F6"/>
    <mergeCell ref="G6:H6"/>
    <mergeCell ref="I6:J6"/>
  </mergeCells>
  <printOptions/>
  <pageMargins left="0.5511811023622047" right="0.1968503937007874" top="0.6299212598425197" bottom="0.7086614173228347" header="0.275590551181102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5"/>
  <sheetViews>
    <sheetView zoomScaleSheetLayoutView="100" zoomScalePageLayoutView="0" workbookViewId="0" topLeftCell="A4">
      <selection activeCell="A137" sqref="A137"/>
    </sheetView>
  </sheetViews>
  <sheetFormatPr defaultColWidth="9.140625" defaultRowHeight="21.75" customHeight="1"/>
  <cols>
    <col min="1" max="1" width="20.57421875" style="1" customWidth="1"/>
    <col min="2" max="2" width="14.57421875" style="3" customWidth="1"/>
    <col min="3" max="3" width="14.7109375" style="3" customWidth="1"/>
    <col min="4" max="4" width="14.421875" style="3" customWidth="1"/>
    <col min="5" max="5" width="0.9921875" style="1" customWidth="1"/>
    <col min="6" max="6" width="15.421875" style="11" customWidth="1"/>
    <col min="7" max="7" width="15.57421875" style="1" customWidth="1"/>
    <col min="8" max="8" width="15.421875" style="1" customWidth="1"/>
    <col min="9" max="9" width="2.28125" style="1" customWidth="1"/>
    <col min="10" max="16384" width="9.140625" style="1" customWidth="1"/>
  </cols>
  <sheetData>
    <row r="1" spans="1:9" ht="21.75" customHeight="1">
      <c r="A1" s="18" t="s">
        <v>480</v>
      </c>
      <c r="B1" s="18"/>
      <c r="C1" s="18"/>
      <c r="D1" s="18"/>
      <c r="E1" s="18"/>
      <c r="F1" s="18"/>
      <c r="G1" s="18"/>
      <c r="H1" s="18"/>
      <c r="I1" s="9"/>
    </row>
    <row r="2" spans="1:9" ht="11.25" customHeight="1">
      <c r="A2" s="9"/>
      <c r="B2" s="9"/>
      <c r="C2" s="9"/>
      <c r="D2" s="9"/>
      <c r="E2" s="9"/>
      <c r="F2" s="10"/>
      <c r="G2" s="9"/>
      <c r="H2" s="9"/>
      <c r="I2" s="9"/>
    </row>
    <row r="3" spans="1:4" s="19" customFormat="1" ht="21.75" customHeight="1">
      <c r="A3" s="122" t="s">
        <v>541</v>
      </c>
      <c r="B3" s="20"/>
      <c r="C3" s="20"/>
      <c r="D3" s="20"/>
    </row>
    <row r="4" spans="1:4" s="19" customFormat="1" ht="21.75" customHeight="1">
      <c r="A4" s="19" t="s">
        <v>275</v>
      </c>
      <c r="B4" s="20"/>
      <c r="C4" s="20"/>
      <c r="D4" s="20"/>
    </row>
    <row r="5" spans="2:8" s="19" customFormat="1" ht="21.75" customHeight="1">
      <c r="B5" s="638" t="s">
        <v>539</v>
      </c>
      <c r="C5" s="638"/>
      <c r="D5" s="638"/>
      <c r="E5" s="638"/>
      <c r="F5" s="638"/>
      <c r="G5" s="638"/>
      <c r="H5" s="638"/>
    </row>
    <row r="6" spans="2:8" s="19" customFormat="1" ht="21.75" customHeight="1">
      <c r="B6" s="639" t="s">
        <v>540</v>
      </c>
      <c r="C6" s="639"/>
      <c r="D6" s="639"/>
      <c r="E6" s="639"/>
      <c r="F6" s="639"/>
      <c r="G6" s="639"/>
      <c r="H6" s="639"/>
    </row>
    <row r="7" spans="1:8" s="19" customFormat="1" ht="21.75" customHeight="1">
      <c r="A7" s="124"/>
      <c r="B7" s="636" t="s">
        <v>453</v>
      </c>
      <c r="C7" s="637"/>
      <c r="D7" s="637"/>
      <c r="F7" s="636" t="s">
        <v>454</v>
      </c>
      <c r="G7" s="637"/>
      <c r="H7" s="637"/>
    </row>
    <row r="8" spans="1:8" s="19" customFormat="1" ht="21.75" customHeight="1">
      <c r="A8" s="124"/>
      <c r="B8" s="125" t="s">
        <v>585</v>
      </c>
      <c r="C8" s="126" t="s">
        <v>586</v>
      </c>
      <c r="D8" s="125" t="s">
        <v>402</v>
      </c>
      <c r="F8" s="125" t="s">
        <v>585</v>
      </c>
      <c r="G8" s="126" t="s">
        <v>586</v>
      </c>
      <c r="H8" s="125" t="s">
        <v>402</v>
      </c>
    </row>
    <row r="9" spans="2:8" s="19" customFormat="1" ht="21.75" customHeight="1">
      <c r="B9" s="127"/>
      <c r="C9" s="123" t="s">
        <v>587</v>
      </c>
      <c r="D9" s="127"/>
      <c r="E9" s="128"/>
      <c r="F9" s="127"/>
      <c r="G9" s="123" t="s">
        <v>587</v>
      </c>
      <c r="H9" s="127"/>
    </row>
    <row r="10" spans="1:8" s="19" customFormat="1" ht="21.75" customHeight="1">
      <c r="A10" s="19" t="s">
        <v>588</v>
      </c>
      <c r="B10" s="40">
        <v>198738438.97</v>
      </c>
      <c r="C10" s="40">
        <v>151138137.95</v>
      </c>
      <c r="D10" s="40">
        <f>SUM(B10:C10)</f>
        <v>349876576.91999996</v>
      </c>
      <c r="E10" s="282"/>
      <c r="F10" s="40">
        <v>170858994.77</v>
      </c>
      <c r="G10" s="40">
        <v>153479117.1</v>
      </c>
      <c r="H10" s="345">
        <f>SUM(F10:G10)</f>
        <v>324338111.87</v>
      </c>
    </row>
    <row r="11" spans="1:8" s="19" customFormat="1" ht="21.75" customHeight="1">
      <c r="A11" s="19" t="s">
        <v>589</v>
      </c>
      <c r="B11" s="41">
        <v>159525784.26</v>
      </c>
      <c r="C11" s="41">
        <v>137400675.57</v>
      </c>
      <c r="D11" s="41">
        <f>SUM(B11:C11)</f>
        <v>296926459.83</v>
      </c>
      <c r="E11" s="282"/>
      <c r="F11" s="41">
        <v>159525784.26</v>
      </c>
      <c r="G11" s="41">
        <v>137400675.57</v>
      </c>
      <c r="H11" s="346">
        <f>SUM(F11:G11)</f>
        <v>296926459.83</v>
      </c>
    </row>
    <row r="12" spans="1:8" s="19" customFormat="1" ht="21.75" customHeight="1">
      <c r="A12" s="19" t="s">
        <v>590</v>
      </c>
      <c r="B12" s="40">
        <f>SUM(B10:B11)</f>
        <v>358264223.23</v>
      </c>
      <c r="C12" s="40">
        <f>SUM(C10:C11)</f>
        <v>288538813.52</v>
      </c>
      <c r="D12" s="40">
        <f>SUM(D10:D11)</f>
        <v>646803036.75</v>
      </c>
      <c r="E12" s="283"/>
      <c r="F12" s="179">
        <f>SUM(F10:F11)</f>
        <v>330384779.03</v>
      </c>
      <c r="G12" s="179">
        <f>SUM(G10:G11)</f>
        <v>290879792.66999996</v>
      </c>
      <c r="H12" s="179">
        <f>SUM(H10:H11)</f>
        <v>621264571.7</v>
      </c>
    </row>
    <row r="13" spans="1:8" s="19" customFormat="1" ht="21.75" customHeight="1">
      <c r="A13" s="19" t="s">
        <v>153</v>
      </c>
      <c r="B13" s="40"/>
      <c r="C13" s="40"/>
      <c r="D13" s="40"/>
      <c r="E13" s="284"/>
      <c r="F13" s="283"/>
      <c r="G13" s="283"/>
      <c r="H13" s="283"/>
    </row>
    <row r="14" spans="1:9" s="19" customFormat="1" ht="21.75" customHeight="1">
      <c r="A14" s="19" t="s">
        <v>154</v>
      </c>
      <c r="B14" s="40"/>
      <c r="C14" s="40"/>
      <c r="D14" s="130">
        <v>-41694362.68</v>
      </c>
      <c r="E14" s="282"/>
      <c r="F14" s="283"/>
      <c r="G14" s="283"/>
      <c r="H14" s="132">
        <v>-41694362.68</v>
      </c>
      <c r="I14" s="130"/>
    </row>
    <row r="15" spans="1:8" s="19" customFormat="1" ht="21.75" customHeight="1">
      <c r="A15" s="19" t="s">
        <v>591</v>
      </c>
      <c r="B15" s="40"/>
      <c r="C15" s="40"/>
      <c r="D15" s="285">
        <f>SUM(D12:D14)</f>
        <v>605108674.07</v>
      </c>
      <c r="E15" s="284"/>
      <c r="F15" s="283"/>
      <c r="G15" s="283"/>
      <c r="H15" s="311">
        <f>SUM(H12:H14)</f>
        <v>579570209.0200001</v>
      </c>
    </row>
    <row r="16" spans="1:8" s="19" customFormat="1" ht="21.75" customHeight="1">
      <c r="A16" s="19" t="s">
        <v>542</v>
      </c>
      <c r="B16" s="283"/>
      <c r="C16" s="283"/>
      <c r="D16" s="283"/>
      <c r="E16" s="284"/>
      <c r="F16" s="284"/>
      <c r="G16" s="284"/>
      <c r="H16" s="284"/>
    </row>
    <row r="17" spans="2:8" s="19" customFormat="1" ht="21.75" customHeight="1">
      <c r="B17" s="638" t="s">
        <v>539</v>
      </c>
      <c r="C17" s="638"/>
      <c r="D17" s="638"/>
      <c r="E17" s="638"/>
      <c r="F17" s="638"/>
      <c r="G17" s="638"/>
      <c r="H17" s="638"/>
    </row>
    <row r="18" spans="2:8" s="19" customFormat="1" ht="21.75" customHeight="1">
      <c r="B18" s="639" t="s">
        <v>540</v>
      </c>
      <c r="C18" s="639"/>
      <c r="D18" s="639"/>
      <c r="E18" s="639"/>
      <c r="F18" s="639"/>
      <c r="G18" s="639"/>
      <c r="H18" s="639"/>
    </row>
    <row r="19" spans="1:8" s="19" customFormat="1" ht="21.75" customHeight="1">
      <c r="A19" s="124"/>
      <c r="B19" s="636" t="s">
        <v>453</v>
      </c>
      <c r="C19" s="637"/>
      <c r="D19" s="637"/>
      <c r="F19" s="636" t="s">
        <v>454</v>
      </c>
      <c r="G19" s="637"/>
      <c r="H19" s="637"/>
    </row>
    <row r="20" spans="1:8" s="19" customFormat="1" ht="21.75" customHeight="1">
      <c r="A20" s="124"/>
      <c r="B20" s="125" t="s">
        <v>585</v>
      </c>
      <c r="C20" s="126" t="s">
        <v>586</v>
      </c>
      <c r="D20" s="125" t="s">
        <v>402</v>
      </c>
      <c r="F20" s="125" t="s">
        <v>585</v>
      </c>
      <c r="G20" s="126" t="s">
        <v>586</v>
      </c>
      <c r="H20" s="125" t="s">
        <v>402</v>
      </c>
    </row>
    <row r="21" spans="2:8" s="19" customFormat="1" ht="21.75" customHeight="1">
      <c r="B21" s="127"/>
      <c r="C21" s="123" t="s">
        <v>587</v>
      </c>
      <c r="D21" s="127"/>
      <c r="E21" s="128"/>
      <c r="F21" s="127"/>
      <c r="G21" s="123" t="s">
        <v>587</v>
      </c>
      <c r="H21" s="127"/>
    </row>
    <row r="22" spans="1:9" s="19" customFormat="1" ht="21.75" customHeight="1">
      <c r="A22" s="19" t="s">
        <v>333</v>
      </c>
      <c r="B22" s="40">
        <v>67735458.72</v>
      </c>
      <c r="C22" s="40">
        <v>12641516.27</v>
      </c>
      <c r="D22" s="40">
        <f>+B22+C22</f>
        <v>80376974.99</v>
      </c>
      <c r="E22" s="129"/>
      <c r="F22" s="40">
        <v>67735458.72</v>
      </c>
      <c r="G22" s="40">
        <v>12641516.27</v>
      </c>
      <c r="H22" s="40">
        <f>+F22+G22</f>
        <v>80376974.99</v>
      </c>
      <c r="I22" s="40"/>
    </row>
    <row r="23" spans="1:9" s="19" customFormat="1" ht="21.75" customHeight="1">
      <c r="A23" s="19" t="s">
        <v>334</v>
      </c>
      <c r="B23" s="40">
        <v>256184117.2</v>
      </c>
      <c r="C23" s="40">
        <v>29525634.61</v>
      </c>
      <c r="D23" s="40">
        <f>B23+C23</f>
        <v>285709751.81</v>
      </c>
      <c r="E23" s="129"/>
      <c r="F23" s="40">
        <v>249079003.9</v>
      </c>
      <c r="G23" s="40">
        <v>17794259.17</v>
      </c>
      <c r="H23" s="40">
        <f>F23+G23</f>
        <v>266873263.07</v>
      </c>
      <c r="I23" s="40"/>
    </row>
    <row r="24" spans="1:9" s="19" customFormat="1" ht="21.75" customHeight="1">
      <c r="A24" s="19" t="s">
        <v>335</v>
      </c>
      <c r="B24" s="40">
        <v>4028000</v>
      </c>
      <c r="C24" s="40">
        <v>0</v>
      </c>
      <c r="D24" s="40">
        <f>+B24+C24</f>
        <v>4028000</v>
      </c>
      <c r="E24" s="129"/>
      <c r="F24" s="40">
        <v>4028000</v>
      </c>
      <c r="G24" s="40">
        <v>0</v>
      </c>
      <c r="H24" s="40">
        <f>+F24+G24</f>
        <v>4028000</v>
      </c>
      <c r="I24" s="40"/>
    </row>
    <row r="25" spans="1:9" s="19" customFormat="1" ht="21.75" customHeight="1">
      <c r="A25" s="19" t="s">
        <v>336</v>
      </c>
      <c r="B25" s="41">
        <v>2825500</v>
      </c>
      <c r="C25" s="41">
        <v>0</v>
      </c>
      <c r="D25" s="41">
        <f>+B25+C25</f>
        <v>2825500</v>
      </c>
      <c r="E25" s="129"/>
      <c r="F25" s="41">
        <v>2825500</v>
      </c>
      <c r="G25" s="41">
        <v>0</v>
      </c>
      <c r="H25" s="41">
        <f>+F25+G25</f>
        <v>2825500</v>
      </c>
      <c r="I25" s="41"/>
    </row>
    <row r="26" spans="1:8" s="19" customFormat="1" ht="21.75" customHeight="1">
      <c r="A26" s="19" t="s">
        <v>590</v>
      </c>
      <c r="B26" s="285">
        <f>SUM(B22:B25)</f>
        <v>330773075.91999996</v>
      </c>
      <c r="C26" s="285">
        <f>SUM(C22:C25)</f>
        <v>42167150.879999995</v>
      </c>
      <c r="D26" s="285">
        <f>SUM(D22:D25)</f>
        <v>372940226.8</v>
      </c>
      <c r="E26" s="132"/>
      <c r="F26" s="131">
        <f>SUM(F22:F25)</f>
        <v>323667962.62</v>
      </c>
      <c r="G26" s="131">
        <f>SUM(G22:G25)</f>
        <v>30435775.44</v>
      </c>
      <c r="H26" s="131">
        <f>SUM(H22:H25)</f>
        <v>354103738.06</v>
      </c>
    </row>
    <row r="27" spans="1:8" s="19" customFormat="1" ht="21.75" customHeight="1">
      <c r="A27" s="19" t="s">
        <v>115</v>
      </c>
      <c r="B27" s="286"/>
      <c r="C27" s="286"/>
      <c r="D27" s="287">
        <v>-5805140.73</v>
      </c>
      <c r="E27" s="132"/>
      <c r="F27" s="133"/>
      <c r="G27" s="133"/>
      <c r="H27" s="134">
        <v>-5805140.73</v>
      </c>
    </row>
    <row r="28" spans="1:8" s="19" customFormat="1" ht="21.75" customHeight="1">
      <c r="A28" s="19" t="s">
        <v>590</v>
      </c>
      <c r="B28" s="286"/>
      <c r="C28" s="286"/>
      <c r="D28" s="41">
        <f>SUM(D26:D27)</f>
        <v>367135086.07</v>
      </c>
      <c r="E28" s="132"/>
      <c r="F28" s="133"/>
      <c r="G28" s="133"/>
      <c r="H28" s="135">
        <f>SUM(H26:H27)</f>
        <v>348298597.33</v>
      </c>
    </row>
    <row r="29" spans="1:8" s="19" customFormat="1" ht="21.75" customHeight="1" thickBot="1">
      <c r="A29" s="19" t="s">
        <v>591</v>
      </c>
      <c r="B29" s="40"/>
      <c r="C29" s="40"/>
      <c r="D29" s="136">
        <f>+D15+D28</f>
        <v>972243760.1400001</v>
      </c>
      <c r="F29" s="132"/>
      <c r="G29" s="132"/>
      <c r="H29" s="136">
        <f>+H15+H28</f>
        <v>927868806.3500001</v>
      </c>
    </row>
    <row r="30" spans="1:8" ht="21.75" customHeight="1" thickTop="1">
      <c r="A30" s="1" t="s">
        <v>65</v>
      </c>
      <c r="B30" s="38"/>
      <c r="C30" s="39"/>
      <c r="E30" s="19"/>
      <c r="F30" s="20"/>
      <c r="G30" s="20"/>
      <c r="H30" s="56"/>
    </row>
    <row r="31" spans="1:8" ht="21.75" customHeight="1">
      <c r="A31" s="1" t="s">
        <v>1083</v>
      </c>
      <c r="B31" s="20"/>
      <c r="C31" s="20"/>
      <c r="D31" s="56"/>
      <c r="E31" s="19"/>
      <c r="F31" s="20"/>
      <c r="G31" s="20"/>
      <c r="H31" s="56"/>
    </row>
    <row r="32" spans="1:8" ht="21.75" customHeight="1">
      <c r="A32" s="1" t="s">
        <v>1084</v>
      </c>
      <c r="B32" s="20"/>
      <c r="C32" s="20"/>
      <c r="D32" s="56"/>
      <c r="E32" s="19"/>
      <c r="F32" s="20"/>
      <c r="G32" s="20"/>
      <c r="H32" s="56"/>
    </row>
    <row r="33" spans="1:8" ht="21.75" customHeight="1">
      <c r="A33" s="1" t="s">
        <v>1081</v>
      </c>
      <c r="B33" s="20"/>
      <c r="C33" s="20"/>
      <c r="D33" s="56"/>
      <c r="E33" s="19"/>
      <c r="F33" s="20"/>
      <c r="G33" s="20"/>
      <c r="H33" s="56"/>
    </row>
    <row r="34" spans="2:9" ht="15" customHeight="1">
      <c r="B34" s="38"/>
      <c r="C34" s="39"/>
      <c r="E34" s="5"/>
      <c r="F34" s="13"/>
      <c r="G34" s="12"/>
      <c r="H34" s="12"/>
      <c r="I34" s="4"/>
    </row>
    <row r="35" spans="1:9" ht="21.75" customHeight="1">
      <c r="A35" s="2" t="s">
        <v>574</v>
      </c>
      <c r="B35" s="12"/>
      <c r="C35" s="12"/>
      <c r="D35" s="12"/>
      <c r="E35" s="5"/>
      <c r="F35" s="13"/>
      <c r="G35" s="12"/>
      <c r="H35" s="12"/>
      <c r="I35" s="4"/>
    </row>
    <row r="36" spans="1:9" ht="21.75" customHeight="1">
      <c r="A36" s="1" t="s">
        <v>455</v>
      </c>
      <c r="B36" s="12"/>
      <c r="C36" s="12"/>
      <c r="D36" s="12"/>
      <c r="E36" s="5"/>
      <c r="F36" s="13"/>
      <c r="G36" s="12"/>
      <c r="H36" s="12"/>
      <c r="I36" s="4"/>
    </row>
    <row r="37" spans="1:9" ht="21.75" customHeight="1">
      <c r="A37" s="6" t="s">
        <v>456</v>
      </c>
      <c r="B37" s="12"/>
      <c r="C37" s="12"/>
      <c r="D37" s="12"/>
      <c r="E37" s="5"/>
      <c r="F37" s="13"/>
      <c r="G37" s="12"/>
      <c r="H37" s="12"/>
      <c r="I37" s="4"/>
    </row>
    <row r="38" spans="1:9" ht="21.75" customHeight="1">
      <c r="A38" s="6" t="s">
        <v>64</v>
      </c>
      <c r="B38" s="12"/>
      <c r="C38" s="12"/>
      <c r="D38" s="12"/>
      <c r="E38" s="5"/>
      <c r="F38" s="13"/>
      <c r="G38" s="12"/>
      <c r="H38" s="12"/>
      <c r="I38" s="4"/>
    </row>
    <row r="39" spans="1:6" s="158" customFormat="1" ht="21.75" customHeight="1">
      <c r="A39" s="290" t="s">
        <v>273</v>
      </c>
      <c r="F39" s="487"/>
    </row>
    <row r="40" spans="1:6" s="290" customFormat="1" ht="21.75" customHeight="1">
      <c r="A40" s="290" t="s">
        <v>272</v>
      </c>
      <c r="B40" s="53"/>
      <c r="C40" s="53"/>
      <c r="D40" s="53"/>
      <c r="F40" s="487"/>
    </row>
    <row r="41" spans="1:9" s="290" customFormat="1" ht="21.75" customHeight="1">
      <c r="A41" s="290" t="s">
        <v>1242</v>
      </c>
      <c r="B41" s="484"/>
      <c r="C41" s="484"/>
      <c r="D41" s="484"/>
      <c r="E41" s="485"/>
      <c r="F41" s="486"/>
      <c r="G41" s="484"/>
      <c r="H41" s="484"/>
      <c r="I41" s="54"/>
    </row>
    <row r="42" spans="1:9" s="290" customFormat="1" ht="21.75" customHeight="1">
      <c r="A42" s="290" t="s">
        <v>1172</v>
      </c>
      <c r="B42" s="484"/>
      <c r="C42" s="484"/>
      <c r="D42" s="484"/>
      <c r="E42" s="485"/>
      <c r="F42" s="486"/>
      <c r="G42" s="484"/>
      <c r="H42" s="484"/>
      <c r="I42" s="54"/>
    </row>
    <row r="43" spans="1:9" s="290" customFormat="1" ht="21.75" customHeight="1">
      <c r="A43" s="290" t="s">
        <v>274</v>
      </c>
      <c r="B43" s="54"/>
      <c r="C43" s="54"/>
      <c r="D43" s="54"/>
      <c r="E43" s="485"/>
      <c r="F43" s="486"/>
      <c r="G43" s="484"/>
      <c r="H43" s="484"/>
      <c r="I43" s="54"/>
    </row>
    <row r="44" spans="2:6" s="290" customFormat="1" ht="21.75" customHeight="1">
      <c r="B44" s="53"/>
      <c r="C44" s="53"/>
      <c r="D44" s="53"/>
      <c r="F44" s="487"/>
    </row>
    <row r="45" spans="2:6" s="290" customFormat="1" ht="21.75" customHeight="1">
      <c r="B45" s="53"/>
      <c r="C45" s="53"/>
      <c r="D45" s="53"/>
      <c r="F45" s="487"/>
    </row>
  </sheetData>
  <sheetProtection/>
  <mergeCells count="8">
    <mergeCell ref="B19:D19"/>
    <mergeCell ref="F19:H19"/>
    <mergeCell ref="B5:H5"/>
    <mergeCell ref="B6:H6"/>
    <mergeCell ref="B7:D7"/>
    <mergeCell ref="F7:H7"/>
    <mergeCell ref="B17:H17"/>
    <mergeCell ref="B18:H18"/>
  </mergeCells>
  <printOptions/>
  <pageMargins left="0.49" right="0.2362204724409449" top="0.37" bottom="0.25" header="0.24" footer="0.17"/>
  <pageSetup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8"/>
  <sheetViews>
    <sheetView zoomScaleSheetLayoutView="100" zoomScalePageLayoutView="0" workbookViewId="0" topLeftCell="A13">
      <selection activeCell="A137" sqref="A137"/>
    </sheetView>
  </sheetViews>
  <sheetFormatPr defaultColWidth="9.140625" defaultRowHeight="24.75" customHeight="1"/>
  <cols>
    <col min="1" max="1" width="17.7109375" style="288" customWidth="1"/>
    <col min="2" max="2" width="22.57421875" style="288" customWidth="1"/>
    <col min="3" max="3" width="18.28125" style="288" customWidth="1"/>
    <col min="4" max="4" width="0.85546875" style="288" customWidth="1"/>
    <col min="5" max="5" width="17.7109375" style="288" customWidth="1"/>
    <col min="6" max="6" width="0.71875" style="288" customWidth="1"/>
    <col min="7" max="7" width="17.7109375" style="288" customWidth="1"/>
    <col min="8" max="8" width="0.71875" style="288" customWidth="1"/>
    <col min="9" max="9" width="17.7109375" style="288" customWidth="1"/>
    <col min="10" max="10" width="0.71875" style="288" customWidth="1"/>
    <col min="11" max="11" width="17.7109375" style="288" customWidth="1"/>
    <col min="12" max="12" width="0.71875" style="288" customWidth="1"/>
    <col min="13" max="13" width="17.7109375" style="288" customWidth="1"/>
    <col min="14" max="14" width="0.71875" style="288" customWidth="1"/>
    <col min="15" max="15" width="17.7109375" style="288" customWidth="1"/>
    <col min="16" max="16" width="0.71875" style="288" customWidth="1"/>
    <col min="17" max="17" width="17.7109375" style="288" customWidth="1"/>
    <col min="18" max="18" width="2.00390625" style="288" customWidth="1"/>
    <col min="19" max="16384" width="9.140625" style="288" customWidth="1"/>
  </cols>
  <sheetData>
    <row r="1" spans="1:17" ht="24.75" customHeight="1">
      <c r="A1" s="640" t="s">
        <v>1203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  <c r="O1" s="640"/>
      <c r="P1" s="640"/>
      <c r="Q1" s="640"/>
    </row>
    <row r="2" spans="1:17" ht="24.75" customHeight="1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</row>
    <row r="3" s="158" customFormat="1" ht="24.75" customHeight="1">
      <c r="A3" s="289" t="s">
        <v>795</v>
      </c>
    </row>
    <row r="4" s="158" customFormat="1" ht="24.75" customHeight="1">
      <c r="A4" s="290" t="s">
        <v>457</v>
      </c>
    </row>
    <row r="5" spans="3:17" ht="24.75" customHeight="1">
      <c r="C5" s="641"/>
      <c r="D5" s="641"/>
      <c r="E5" s="641"/>
      <c r="F5" s="641"/>
      <c r="G5" s="641"/>
      <c r="H5" s="641"/>
      <c r="I5" s="641"/>
      <c r="J5" s="641"/>
      <c r="K5" s="641"/>
      <c r="L5" s="641"/>
      <c r="M5" s="641"/>
      <c r="N5" s="641"/>
      <c r="O5" s="641"/>
      <c r="P5" s="408"/>
      <c r="Q5" s="181" t="s">
        <v>592</v>
      </c>
    </row>
    <row r="6" spans="1:17" s="158" customFormat="1" ht="24.75" customHeight="1">
      <c r="A6" s="291"/>
      <c r="B6" s="291"/>
      <c r="C6" s="292" t="s">
        <v>585</v>
      </c>
      <c r="D6" s="292"/>
      <c r="E6" s="292" t="s">
        <v>593</v>
      </c>
      <c r="F6" s="292"/>
      <c r="G6" s="292" t="s">
        <v>609</v>
      </c>
      <c r="H6" s="292"/>
      <c r="I6" s="292" t="s">
        <v>642</v>
      </c>
      <c r="J6" s="292"/>
      <c r="K6" s="292" t="s">
        <v>594</v>
      </c>
      <c r="L6" s="292"/>
      <c r="M6" s="292" t="s">
        <v>595</v>
      </c>
      <c r="N6" s="292"/>
      <c r="O6" s="292" t="s">
        <v>596</v>
      </c>
      <c r="P6" s="292"/>
      <c r="Q6" s="292" t="s">
        <v>402</v>
      </c>
    </row>
    <row r="7" spans="1:17" s="158" customFormat="1" ht="24.75" customHeight="1">
      <c r="A7" s="291"/>
      <c r="B7" s="291"/>
      <c r="C7" s="182"/>
      <c r="D7" s="182"/>
      <c r="E7" s="182"/>
      <c r="F7" s="182"/>
      <c r="G7" s="182"/>
      <c r="H7" s="182"/>
      <c r="I7" s="182"/>
      <c r="J7" s="182"/>
      <c r="K7" s="182" t="s">
        <v>597</v>
      </c>
      <c r="L7" s="182"/>
      <c r="M7" s="182" t="s">
        <v>587</v>
      </c>
      <c r="N7" s="182"/>
      <c r="O7" s="182"/>
      <c r="P7" s="182"/>
      <c r="Q7" s="182"/>
    </row>
    <row r="8" spans="1:16" s="158" customFormat="1" ht="24.75" customHeight="1">
      <c r="A8" s="158" t="s">
        <v>598</v>
      </c>
      <c r="C8" s="293"/>
      <c r="D8" s="293"/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3"/>
    </row>
    <row r="9" spans="1:18" s="158" customFormat="1" ht="24.75" customHeight="1">
      <c r="A9" s="158" t="s">
        <v>794</v>
      </c>
      <c r="C9" s="294">
        <v>309352586.81</v>
      </c>
      <c r="D9" s="294"/>
      <c r="E9" s="294">
        <v>1042859627.2299999</v>
      </c>
      <c r="F9" s="294"/>
      <c r="G9" s="294">
        <v>94983456.09</v>
      </c>
      <c r="H9" s="294"/>
      <c r="I9" s="294">
        <v>69230027.96</v>
      </c>
      <c r="J9" s="294"/>
      <c r="K9" s="294">
        <v>399780791.21</v>
      </c>
      <c r="L9" s="294"/>
      <c r="M9" s="294">
        <v>7064462.289999999</v>
      </c>
      <c r="N9" s="294"/>
      <c r="O9" s="294">
        <v>120024191.81000002</v>
      </c>
      <c r="P9" s="294"/>
      <c r="Q9" s="175">
        <f>SUM(C9:O9)</f>
        <v>2043295143.3999999</v>
      </c>
      <c r="R9" s="295"/>
    </row>
    <row r="10" spans="1:18" s="158" customFormat="1" ht="24.75" customHeight="1">
      <c r="A10" s="158" t="s">
        <v>599</v>
      </c>
      <c r="C10" s="294">
        <v>2114357.46</v>
      </c>
      <c r="D10" s="294"/>
      <c r="E10" s="294">
        <v>5456674.86</v>
      </c>
      <c r="F10" s="294"/>
      <c r="G10" s="294">
        <v>5100751</v>
      </c>
      <c r="H10" s="294"/>
      <c r="I10" s="294">
        <v>4263590.31</v>
      </c>
      <c r="J10" s="294"/>
      <c r="K10" s="294">
        <v>9446765.72</v>
      </c>
      <c r="L10" s="294"/>
      <c r="M10" s="294">
        <v>0</v>
      </c>
      <c r="N10" s="294"/>
      <c r="O10" s="188">
        <v>46652300.43</v>
      </c>
      <c r="P10" s="188"/>
      <c r="Q10" s="175">
        <f>SUM(C10:O10)</f>
        <v>73034439.78</v>
      </c>
      <c r="R10" s="295"/>
    </row>
    <row r="11" spans="1:18" s="158" customFormat="1" ht="24.75" customHeight="1">
      <c r="A11" s="158" t="s">
        <v>792</v>
      </c>
      <c r="C11" s="294">
        <f>'[1]FA'!C21</f>
        <v>0</v>
      </c>
      <c r="D11" s="294"/>
      <c r="E11" s="294">
        <v>139372661.7</v>
      </c>
      <c r="F11" s="294"/>
      <c r="G11" s="294">
        <f>'[1]FA'!I21</f>
        <v>0</v>
      </c>
      <c r="H11" s="294"/>
      <c r="I11" s="296">
        <v>-138031.44</v>
      </c>
      <c r="J11" s="294"/>
      <c r="K11" s="294">
        <v>171594.44</v>
      </c>
      <c r="L11" s="294"/>
      <c r="M11" s="294">
        <v>0</v>
      </c>
      <c r="N11" s="294"/>
      <c r="O11" s="296">
        <v>-139406224.7</v>
      </c>
      <c r="P11" s="296"/>
      <c r="Q11" s="138">
        <f>SUM(C11:O11)</f>
        <v>0</v>
      </c>
      <c r="R11" s="295"/>
    </row>
    <row r="12" spans="1:18" s="158" customFormat="1" ht="24.75" customHeight="1">
      <c r="A12" s="158" t="s">
        <v>793</v>
      </c>
      <c r="C12" s="296">
        <v>-179414.34</v>
      </c>
      <c r="D12" s="297"/>
      <c r="E12" s="294">
        <v>0</v>
      </c>
      <c r="F12" s="297"/>
      <c r="G12" s="296">
        <v>-2318195.5</v>
      </c>
      <c r="H12" s="294"/>
      <c r="I12" s="296">
        <v>-120161.8</v>
      </c>
      <c r="J12" s="294"/>
      <c r="K12" s="296">
        <v>-186710.6</v>
      </c>
      <c r="L12" s="296"/>
      <c r="M12" s="296">
        <v>-1389001.08</v>
      </c>
      <c r="N12" s="296"/>
      <c r="O12" s="296">
        <v>-701157.43</v>
      </c>
      <c r="P12" s="296"/>
      <c r="Q12" s="177">
        <f>SUM(C12:O12)</f>
        <v>-4894640.75</v>
      </c>
      <c r="R12" s="295"/>
    </row>
    <row r="13" spans="1:17" s="158" customFormat="1" ht="24.75" customHeight="1">
      <c r="A13" s="158" t="s">
        <v>458</v>
      </c>
      <c r="C13" s="298">
        <f aca="true" t="shared" si="0" ref="C13:O13">SUM(C9:C12)</f>
        <v>311287529.93</v>
      </c>
      <c r="D13" s="441"/>
      <c r="E13" s="298">
        <f t="shared" si="0"/>
        <v>1187688963.79</v>
      </c>
      <c r="F13" s="441"/>
      <c r="G13" s="298">
        <f>SUM(G9:G12)</f>
        <v>97766011.59</v>
      </c>
      <c r="H13" s="441"/>
      <c r="I13" s="298">
        <f t="shared" si="0"/>
        <v>73235425.03</v>
      </c>
      <c r="J13" s="441"/>
      <c r="K13" s="298">
        <f t="shared" si="0"/>
        <v>409212440.77</v>
      </c>
      <c r="L13" s="441"/>
      <c r="M13" s="298">
        <f t="shared" si="0"/>
        <v>5675461.209999999</v>
      </c>
      <c r="N13" s="441"/>
      <c r="O13" s="298">
        <f t="shared" si="0"/>
        <v>26569110.11000002</v>
      </c>
      <c r="P13" s="441"/>
      <c r="Q13" s="298">
        <f>SUM(Q9:Q12)</f>
        <v>2111434942.4299998</v>
      </c>
    </row>
    <row r="14" spans="1:17" s="158" customFormat="1" ht="24.75" customHeight="1">
      <c r="A14" s="158" t="s">
        <v>76</v>
      </c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</row>
    <row r="15" spans="1:17" s="158" customFormat="1" ht="24.75" customHeight="1">
      <c r="A15" s="158" t="s">
        <v>794</v>
      </c>
      <c r="C15" s="294">
        <v>0</v>
      </c>
      <c r="D15" s="294"/>
      <c r="E15" s="294">
        <v>530788762.7</v>
      </c>
      <c r="F15" s="294"/>
      <c r="G15" s="294">
        <v>64048152.31</v>
      </c>
      <c r="H15" s="294"/>
      <c r="I15" s="294">
        <v>50753994.45</v>
      </c>
      <c r="J15" s="294"/>
      <c r="K15" s="294">
        <v>359106855.36</v>
      </c>
      <c r="L15" s="294"/>
      <c r="M15" s="294">
        <v>0</v>
      </c>
      <c r="N15" s="294"/>
      <c r="O15" s="294">
        <v>0</v>
      </c>
      <c r="P15" s="294"/>
      <c r="Q15" s="138">
        <f>SUM(C15:O15)</f>
        <v>1004697764.82</v>
      </c>
    </row>
    <row r="16" spans="1:17" s="158" customFormat="1" ht="24.75" customHeight="1">
      <c r="A16" s="158" t="s">
        <v>600</v>
      </c>
      <c r="C16" s="294">
        <v>0</v>
      </c>
      <c r="D16" s="294"/>
      <c r="E16" s="294">
        <v>52187271.33</v>
      </c>
      <c r="F16" s="294"/>
      <c r="G16" s="294">
        <v>13222993.27</v>
      </c>
      <c r="H16" s="294"/>
      <c r="I16" s="294">
        <v>7990776.35</v>
      </c>
      <c r="J16" s="294"/>
      <c r="K16" s="294">
        <v>12086794.94</v>
      </c>
      <c r="L16" s="294"/>
      <c r="M16" s="294">
        <v>0</v>
      </c>
      <c r="N16" s="294"/>
      <c r="O16" s="294">
        <v>0</v>
      </c>
      <c r="P16" s="294"/>
      <c r="Q16" s="138">
        <f>SUM(C16:O16)</f>
        <v>85487835.88999999</v>
      </c>
    </row>
    <row r="17" spans="1:17" s="158" customFormat="1" ht="24.75" customHeight="1">
      <c r="A17" s="158" t="s">
        <v>601</v>
      </c>
      <c r="C17" s="294">
        <v>0</v>
      </c>
      <c r="D17" s="294"/>
      <c r="E17" s="294">
        <v>0</v>
      </c>
      <c r="F17" s="297"/>
      <c r="G17" s="296">
        <v>-2231996.73</v>
      </c>
      <c r="H17" s="297"/>
      <c r="I17" s="296">
        <v>-83164.56</v>
      </c>
      <c r="J17" s="297"/>
      <c r="K17" s="296">
        <v>-186224</v>
      </c>
      <c r="L17" s="296"/>
      <c r="M17" s="294">
        <v>0</v>
      </c>
      <c r="N17" s="294"/>
      <c r="O17" s="294">
        <v>0</v>
      </c>
      <c r="P17" s="294"/>
      <c r="Q17" s="177">
        <f>SUM(C17:O17)</f>
        <v>-2501385.29</v>
      </c>
    </row>
    <row r="18" spans="1:17" s="158" customFormat="1" ht="24.75" customHeight="1">
      <c r="A18" s="158" t="s">
        <v>458</v>
      </c>
      <c r="C18" s="298">
        <f aca="true" t="shared" si="1" ref="C18:Q18">SUM(C15:C17)</f>
        <v>0</v>
      </c>
      <c r="D18" s="441"/>
      <c r="E18" s="298">
        <f t="shared" si="1"/>
        <v>582976034.03</v>
      </c>
      <c r="F18" s="441"/>
      <c r="G18" s="298">
        <f t="shared" si="1"/>
        <v>75039148.85</v>
      </c>
      <c r="H18" s="441"/>
      <c r="I18" s="298">
        <f t="shared" si="1"/>
        <v>58661606.24</v>
      </c>
      <c r="J18" s="441"/>
      <c r="K18" s="298">
        <f t="shared" si="1"/>
        <v>371007426.3</v>
      </c>
      <c r="L18" s="441"/>
      <c r="M18" s="298">
        <f t="shared" si="1"/>
        <v>0</v>
      </c>
      <c r="N18" s="441"/>
      <c r="O18" s="298">
        <f t="shared" si="1"/>
        <v>0</v>
      </c>
      <c r="P18" s="441"/>
      <c r="Q18" s="298">
        <f t="shared" si="1"/>
        <v>1087684215.42</v>
      </c>
    </row>
    <row r="19" spans="1:17" s="158" customFormat="1" ht="24.75" customHeight="1">
      <c r="A19" s="158" t="s">
        <v>77</v>
      </c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</row>
    <row r="20" spans="1:17" s="158" customFormat="1" ht="24.75" customHeight="1">
      <c r="A20" s="158" t="s">
        <v>794</v>
      </c>
      <c r="C20" s="294">
        <v>17143725</v>
      </c>
      <c r="D20" s="294"/>
      <c r="E20" s="294">
        <v>0</v>
      </c>
      <c r="F20" s="294"/>
      <c r="G20" s="294">
        <v>0</v>
      </c>
      <c r="H20" s="294"/>
      <c r="I20" s="294">
        <v>0</v>
      </c>
      <c r="J20" s="294"/>
      <c r="K20" s="294">
        <v>0</v>
      </c>
      <c r="L20" s="294"/>
      <c r="M20" s="294">
        <v>0</v>
      </c>
      <c r="N20" s="294"/>
      <c r="O20" s="294">
        <v>0</v>
      </c>
      <c r="P20" s="294"/>
      <c r="Q20" s="138">
        <f>SUM(C20:O20)</f>
        <v>17143725</v>
      </c>
    </row>
    <row r="21" spans="1:17" s="158" customFormat="1" ht="24.75" customHeight="1">
      <c r="A21" s="158" t="s">
        <v>766</v>
      </c>
      <c r="C21" s="294">
        <v>0</v>
      </c>
      <c r="D21" s="294"/>
      <c r="E21" s="294">
        <v>0</v>
      </c>
      <c r="F21" s="294"/>
      <c r="G21" s="294">
        <v>0</v>
      </c>
      <c r="H21" s="294"/>
      <c r="I21" s="294">
        <v>0</v>
      </c>
      <c r="J21" s="294"/>
      <c r="K21" s="294">
        <v>0</v>
      </c>
      <c r="L21" s="294"/>
      <c r="M21" s="294">
        <v>0</v>
      </c>
      <c r="N21" s="294"/>
      <c r="O21" s="294">
        <v>0</v>
      </c>
      <c r="P21" s="294"/>
      <c r="Q21" s="138">
        <f>SUM(C21:O21)</f>
        <v>0</v>
      </c>
    </row>
    <row r="22" spans="1:17" s="158" customFormat="1" ht="24.75" customHeight="1">
      <c r="A22" s="158" t="s">
        <v>767</v>
      </c>
      <c r="C22" s="294">
        <v>0</v>
      </c>
      <c r="D22" s="294"/>
      <c r="E22" s="294">
        <v>0</v>
      </c>
      <c r="F22" s="294"/>
      <c r="G22" s="294">
        <v>0</v>
      </c>
      <c r="H22" s="294"/>
      <c r="I22" s="294">
        <v>0</v>
      </c>
      <c r="J22" s="294"/>
      <c r="K22" s="294">
        <v>0</v>
      </c>
      <c r="L22" s="294"/>
      <c r="M22" s="294">
        <v>0</v>
      </c>
      <c r="N22" s="294"/>
      <c r="O22" s="294">
        <v>0</v>
      </c>
      <c r="P22" s="294"/>
      <c r="Q22" s="138">
        <f>SUM(C22:O22)</f>
        <v>0</v>
      </c>
    </row>
    <row r="23" spans="1:17" s="158" customFormat="1" ht="24.75" customHeight="1">
      <c r="A23" s="158" t="s">
        <v>458</v>
      </c>
      <c r="C23" s="298">
        <f aca="true" t="shared" si="2" ref="C23:Q23">SUM(C20:C22)</f>
        <v>17143725</v>
      </c>
      <c r="D23" s="441"/>
      <c r="E23" s="298">
        <f t="shared" si="2"/>
        <v>0</v>
      </c>
      <c r="F23" s="441"/>
      <c r="G23" s="298">
        <f t="shared" si="2"/>
        <v>0</v>
      </c>
      <c r="H23" s="441"/>
      <c r="I23" s="298">
        <f t="shared" si="2"/>
        <v>0</v>
      </c>
      <c r="J23" s="441"/>
      <c r="K23" s="298">
        <f t="shared" si="2"/>
        <v>0</v>
      </c>
      <c r="L23" s="441"/>
      <c r="M23" s="298">
        <f t="shared" si="2"/>
        <v>0</v>
      </c>
      <c r="N23" s="441"/>
      <c r="O23" s="298">
        <f t="shared" si="2"/>
        <v>0</v>
      </c>
      <c r="P23" s="441"/>
      <c r="Q23" s="298">
        <f t="shared" si="2"/>
        <v>17143725</v>
      </c>
    </row>
    <row r="24" spans="1:17" s="158" customFormat="1" ht="24.75" customHeight="1">
      <c r="A24" s="158" t="s">
        <v>610</v>
      </c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</row>
    <row r="25" spans="1:17" s="158" customFormat="1" ht="24.75" customHeight="1" thickBot="1">
      <c r="A25" s="158" t="s">
        <v>794</v>
      </c>
      <c r="C25" s="299">
        <f aca="true" t="shared" si="3" ref="C25:Q25">+C9-C15-C20</f>
        <v>292208861.81</v>
      </c>
      <c r="D25" s="441"/>
      <c r="E25" s="299">
        <f t="shared" si="3"/>
        <v>512070864.5299999</v>
      </c>
      <c r="F25" s="441"/>
      <c r="G25" s="299">
        <f t="shared" si="3"/>
        <v>30935303.78</v>
      </c>
      <c r="H25" s="441"/>
      <c r="I25" s="299">
        <f t="shared" si="3"/>
        <v>18476033.50999999</v>
      </c>
      <c r="J25" s="441"/>
      <c r="K25" s="299">
        <f t="shared" si="3"/>
        <v>40673935.849999964</v>
      </c>
      <c r="L25" s="441"/>
      <c r="M25" s="299">
        <f t="shared" si="3"/>
        <v>7064462.289999999</v>
      </c>
      <c r="N25" s="441"/>
      <c r="O25" s="299">
        <f t="shared" si="3"/>
        <v>120024191.81000002</v>
      </c>
      <c r="P25" s="441"/>
      <c r="Q25" s="299">
        <f t="shared" si="3"/>
        <v>1021453653.5799998</v>
      </c>
    </row>
    <row r="26" spans="1:17" s="158" customFormat="1" ht="24.75" customHeight="1" thickBot="1" thickTop="1">
      <c r="A26" s="158" t="s">
        <v>458</v>
      </c>
      <c r="C26" s="299">
        <f aca="true" t="shared" si="4" ref="C26:Q26">+C13+-C18-C23</f>
        <v>294143804.93</v>
      </c>
      <c r="D26" s="441"/>
      <c r="E26" s="299">
        <f t="shared" si="4"/>
        <v>604712929.76</v>
      </c>
      <c r="F26" s="441"/>
      <c r="G26" s="299">
        <f t="shared" si="4"/>
        <v>22726862.74000001</v>
      </c>
      <c r="H26" s="441"/>
      <c r="I26" s="299">
        <f t="shared" si="4"/>
        <v>14573818.79</v>
      </c>
      <c r="J26" s="441"/>
      <c r="K26" s="299">
        <f t="shared" si="4"/>
        <v>38205014.46999997</v>
      </c>
      <c r="L26" s="441"/>
      <c r="M26" s="299">
        <f t="shared" si="4"/>
        <v>5675461.209999999</v>
      </c>
      <c r="N26" s="441"/>
      <c r="O26" s="299">
        <f t="shared" si="4"/>
        <v>26569110.11000002</v>
      </c>
      <c r="P26" s="441"/>
      <c r="Q26" s="299">
        <f t="shared" si="4"/>
        <v>1006607002.0099998</v>
      </c>
    </row>
    <row r="27" spans="3:16" s="86" customFormat="1" ht="24.75" customHeight="1" thickTop="1">
      <c r="C27" s="300"/>
      <c r="D27" s="300"/>
      <c r="E27" s="300"/>
      <c r="F27" s="300"/>
      <c r="G27" s="300"/>
      <c r="H27" s="300"/>
      <c r="I27" s="300"/>
      <c r="J27" s="300"/>
      <c r="K27" s="300"/>
      <c r="L27" s="300"/>
      <c r="M27" s="300"/>
      <c r="N27" s="300"/>
      <c r="O27" s="300"/>
      <c r="P27" s="300"/>
    </row>
    <row r="28" spans="1:16" s="86" customFormat="1" ht="24.75" customHeight="1">
      <c r="A28" s="301" t="s">
        <v>459</v>
      </c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00"/>
      <c r="N28" s="300"/>
      <c r="O28" s="300"/>
      <c r="P28" s="300"/>
    </row>
    <row r="29" spans="1:16" s="86" customFormat="1" ht="24.75" customHeight="1">
      <c r="A29" s="301" t="s">
        <v>460</v>
      </c>
      <c r="C29" s="300"/>
      <c r="D29" s="300"/>
      <c r="E29" s="300"/>
      <c r="F29" s="300"/>
      <c r="G29" s="300"/>
      <c r="H29" s="300"/>
      <c r="I29" s="300"/>
      <c r="J29" s="300"/>
      <c r="K29" s="300"/>
      <c r="L29" s="300"/>
      <c r="M29" s="300"/>
      <c r="N29" s="300"/>
      <c r="O29" s="300"/>
      <c r="P29" s="300"/>
    </row>
    <row r="30" spans="1:16" s="86" customFormat="1" ht="24.75" customHeight="1">
      <c r="A30" s="290"/>
      <c r="C30" s="300"/>
      <c r="D30" s="300"/>
      <c r="E30" s="300"/>
      <c r="F30" s="300"/>
      <c r="G30" s="300"/>
      <c r="H30" s="300"/>
      <c r="I30" s="300"/>
      <c r="J30" s="300"/>
      <c r="K30" s="300"/>
      <c r="L30" s="300"/>
      <c r="M30" s="300"/>
      <c r="N30" s="300"/>
      <c r="O30" s="300"/>
      <c r="P30" s="300"/>
    </row>
    <row r="31" spans="3:16" s="86" customFormat="1" ht="24.75" customHeight="1">
      <c r="C31" s="300"/>
      <c r="D31" s="300"/>
      <c r="E31" s="300"/>
      <c r="F31" s="300"/>
      <c r="G31" s="300"/>
      <c r="H31" s="300"/>
      <c r="I31" s="300"/>
      <c r="J31" s="300"/>
      <c r="K31" s="300"/>
      <c r="L31" s="300"/>
      <c r="M31" s="300"/>
      <c r="N31" s="300"/>
      <c r="O31" s="300"/>
      <c r="P31" s="300"/>
    </row>
    <row r="32" spans="3:16" s="86" customFormat="1" ht="24.75" customHeight="1">
      <c r="C32" s="300"/>
      <c r="D32" s="300"/>
      <c r="E32" s="300"/>
      <c r="F32" s="300"/>
      <c r="G32" s="300"/>
      <c r="H32" s="300"/>
      <c r="I32" s="300"/>
      <c r="J32" s="300"/>
      <c r="K32" s="300"/>
      <c r="L32" s="300"/>
      <c r="M32" s="300"/>
      <c r="N32" s="300"/>
      <c r="O32" s="300"/>
      <c r="P32" s="300"/>
    </row>
    <row r="33" spans="1:16" s="158" customFormat="1" ht="24.75" customHeight="1">
      <c r="A33" s="290"/>
      <c r="C33" s="302"/>
      <c r="D33" s="302"/>
      <c r="E33" s="302"/>
      <c r="F33" s="302"/>
      <c r="G33" s="302"/>
      <c r="H33" s="302"/>
      <c r="I33" s="302"/>
      <c r="J33" s="302"/>
      <c r="K33" s="302"/>
      <c r="L33" s="302"/>
      <c r="M33" s="302"/>
      <c r="N33" s="302"/>
      <c r="O33" s="302"/>
      <c r="P33" s="302"/>
    </row>
    <row r="34" spans="1:16" s="158" customFormat="1" ht="24.75" customHeight="1">
      <c r="A34" s="290"/>
      <c r="C34" s="302"/>
      <c r="D34" s="302"/>
      <c r="E34" s="302"/>
      <c r="F34" s="302"/>
      <c r="G34" s="302"/>
      <c r="H34" s="302"/>
      <c r="I34" s="302"/>
      <c r="J34" s="302"/>
      <c r="K34" s="302"/>
      <c r="L34" s="302"/>
      <c r="M34" s="302"/>
      <c r="N34" s="302"/>
      <c r="O34" s="302"/>
      <c r="P34" s="302"/>
    </row>
    <row r="35" spans="3:16" s="86" customFormat="1" ht="24.75" customHeight="1"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  <c r="O35" s="303"/>
      <c r="P35" s="303"/>
    </row>
    <row r="36" spans="3:16" s="86" customFormat="1" ht="24.75" customHeight="1">
      <c r="C36" s="303"/>
      <c r="D36" s="303"/>
      <c r="E36" s="303"/>
      <c r="F36" s="303"/>
      <c r="G36" s="303"/>
      <c r="H36" s="303"/>
      <c r="I36" s="303"/>
      <c r="J36" s="303"/>
      <c r="K36" s="303"/>
      <c r="L36" s="303"/>
      <c r="M36" s="303"/>
      <c r="N36" s="303"/>
      <c r="O36" s="303"/>
      <c r="P36" s="303"/>
    </row>
    <row r="37" spans="3:16" s="86" customFormat="1" ht="24.75" customHeight="1"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</row>
    <row r="38" spans="3:16" s="86" customFormat="1" ht="24.75" customHeight="1">
      <c r="C38" s="303"/>
      <c r="D38" s="303"/>
      <c r="E38" s="303"/>
      <c r="F38" s="303"/>
      <c r="G38" s="303"/>
      <c r="H38" s="303"/>
      <c r="I38" s="303"/>
      <c r="J38" s="303"/>
      <c r="K38" s="303"/>
      <c r="L38" s="303"/>
      <c r="M38" s="303"/>
      <c r="N38" s="303"/>
      <c r="O38" s="303"/>
      <c r="P38" s="303"/>
    </row>
    <row r="39" spans="3:16" s="86" customFormat="1" ht="24.75" customHeight="1">
      <c r="C39" s="303"/>
      <c r="D39" s="303"/>
      <c r="E39" s="303"/>
      <c r="F39" s="303"/>
      <c r="G39" s="303"/>
      <c r="H39" s="303"/>
      <c r="I39" s="303"/>
      <c r="J39" s="303"/>
      <c r="K39" s="303"/>
      <c r="L39" s="303"/>
      <c r="M39" s="303"/>
      <c r="N39" s="303"/>
      <c r="O39" s="303"/>
      <c r="P39" s="303"/>
    </row>
    <row r="40" spans="3:16" s="86" customFormat="1" ht="24.75" customHeight="1">
      <c r="C40" s="303"/>
      <c r="D40" s="303"/>
      <c r="E40" s="303"/>
      <c r="F40" s="303"/>
      <c r="G40" s="303"/>
      <c r="H40" s="303"/>
      <c r="I40" s="303"/>
      <c r="J40" s="303"/>
      <c r="K40" s="303"/>
      <c r="L40" s="303"/>
      <c r="M40" s="303"/>
      <c r="N40" s="303"/>
      <c r="O40" s="303"/>
      <c r="P40" s="303"/>
    </row>
    <row r="41" spans="3:16" s="86" customFormat="1" ht="24.75" customHeight="1">
      <c r="C41" s="303"/>
      <c r="D41" s="303"/>
      <c r="E41" s="303"/>
      <c r="F41" s="303"/>
      <c r="G41" s="303"/>
      <c r="H41" s="303"/>
      <c r="I41" s="303"/>
      <c r="J41" s="303"/>
      <c r="K41" s="303"/>
      <c r="L41" s="303"/>
      <c r="M41" s="303"/>
      <c r="N41" s="303"/>
      <c r="O41" s="303"/>
      <c r="P41" s="303"/>
    </row>
    <row r="42" spans="3:16" s="86" customFormat="1" ht="24.75" customHeight="1">
      <c r="C42" s="304"/>
      <c r="D42" s="304"/>
      <c r="E42" s="304"/>
      <c r="F42" s="304"/>
      <c r="G42" s="304"/>
      <c r="H42" s="304"/>
      <c r="I42" s="304"/>
      <c r="J42" s="304"/>
      <c r="K42" s="304"/>
      <c r="L42" s="304"/>
      <c r="M42" s="304"/>
      <c r="N42" s="304"/>
      <c r="O42" s="304"/>
      <c r="P42" s="304"/>
    </row>
    <row r="43" spans="3:16" s="86" customFormat="1" ht="24.75" customHeight="1">
      <c r="C43" s="304"/>
      <c r="D43" s="304"/>
      <c r="E43" s="304"/>
      <c r="F43" s="304"/>
      <c r="G43" s="304"/>
      <c r="H43" s="304"/>
      <c r="I43" s="304"/>
      <c r="J43" s="304"/>
      <c r="K43" s="304"/>
      <c r="L43" s="304"/>
      <c r="M43" s="304"/>
      <c r="N43" s="304"/>
      <c r="O43" s="304"/>
      <c r="P43" s="304"/>
    </row>
    <row r="44" spans="3:16" s="86" customFormat="1" ht="24.75" customHeight="1">
      <c r="C44" s="304"/>
      <c r="D44" s="304"/>
      <c r="E44" s="304"/>
      <c r="F44" s="304"/>
      <c r="G44" s="304"/>
      <c r="H44" s="304"/>
      <c r="I44" s="304"/>
      <c r="J44" s="304"/>
      <c r="K44" s="304"/>
      <c r="L44" s="304"/>
      <c r="M44" s="304"/>
      <c r="N44" s="304"/>
      <c r="O44" s="304"/>
      <c r="P44" s="304"/>
    </row>
    <row r="45" spans="3:16" s="86" customFormat="1" ht="24.75" customHeight="1">
      <c r="C45" s="304"/>
      <c r="D45" s="304"/>
      <c r="E45" s="304"/>
      <c r="F45" s="304"/>
      <c r="G45" s="304"/>
      <c r="H45" s="304"/>
      <c r="I45" s="304"/>
      <c r="J45" s="304"/>
      <c r="K45" s="304"/>
      <c r="L45" s="304"/>
      <c r="M45" s="304"/>
      <c r="N45" s="304"/>
      <c r="O45" s="304"/>
      <c r="P45" s="304"/>
    </row>
    <row r="46" spans="3:16" s="86" customFormat="1" ht="24.75" customHeight="1">
      <c r="C46" s="304"/>
      <c r="D46" s="304"/>
      <c r="E46" s="304"/>
      <c r="F46" s="304"/>
      <c r="G46" s="304"/>
      <c r="H46" s="304"/>
      <c r="I46" s="304"/>
      <c r="J46" s="304"/>
      <c r="K46" s="304"/>
      <c r="L46" s="304"/>
      <c r="M46" s="304"/>
      <c r="N46" s="304"/>
      <c r="O46" s="304"/>
      <c r="P46" s="304"/>
    </row>
    <row r="47" spans="3:16" s="86" customFormat="1" ht="24.75" customHeight="1">
      <c r="C47" s="304"/>
      <c r="D47" s="304"/>
      <c r="E47" s="304"/>
      <c r="F47" s="304"/>
      <c r="G47" s="304"/>
      <c r="H47" s="304"/>
      <c r="I47" s="304"/>
      <c r="J47" s="304"/>
      <c r="K47" s="304"/>
      <c r="L47" s="304"/>
      <c r="M47" s="304"/>
      <c r="N47" s="304"/>
      <c r="O47" s="304"/>
      <c r="P47" s="304"/>
    </row>
    <row r="48" spans="3:16" s="86" customFormat="1" ht="24.75" customHeight="1">
      <c r="C48" s="304"/>
      <c r="D48" s="304"/>
      <c r="E48" s="304"/>
      <c r="F48" s="304"/>
      <c r="G48" s="304"/>
      <c r="H48" s="304"/>
      <c r="I48" s="304"/>
      <c r="J48" s="304"/>
      <c r="K48" s="304"/>
      <c r="L48" s="304"/>
      <c r="M48" s="304"/>
      <c r="N48" s="304"/>
      <c r="O48" s="304"/>
      <c r="P48" s="304"/>
    </row>
    <row r="49" s="86" customFormat="1" ht="24.75" customHeight="1"/>
    <row r="50" s="86" customFormat="1" ht="24.75" customHeight="1"/>
    <row r="51" s="86" customFormat="1" ht="24.75" customHeight="1"/>
    <row r="52" s="86" customFormat="1" ht="24.75" customHeight="1"/>
    <row r="53" s="86" customFormat="1" ht="24.75" customHeight="1"/>
    <row r="54" s="86" customFormat="1" ht="24.75" customHeight="1"/>
  </sheetData>
  <sheetProtection/>
  <mergeCells count="2">
    <mergeCell ref="A1:Q1"/>
    <mergeCell ref="C5:O5"/>
  </mergeCells>
  <printOptions horizontalCentered="1"/>
  <pageMargins left="0.25" right="0.16" top="0.5" bottom="0.1968503937007874" header="0.15748031496062992" footer="0.3937007874015748"/>
  <pageSetup horizontalDpi="600" verticalDpi="600" orientation="landscape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01"/>
  <sheetViews>
    <sheetView zoomScaleSheetLayoutView="100" zoomScalePageLayoutView="0" workbookViewId="0" topLeftCell="A1">
      <selection activeCell="J28" sqref="J28"/>
    </sheetView>
  </sheetViews>
  <sheetFormatPr defaultColWidth="9.140625" defaultRowHeight="24.75" customHeight="1"/>
  <cols>
    <col min="1" max="1" width="4.7109375" style="28" customWidth="1"/>
    <col min="2" max="2" width="23.28125" style="28" customWidth="1"/>
    <col min="3" max="3" width="3.7109375" style="28" customWidth="1"/>
    <col min="4" max="4" width="17.28125" style="28" customWidth="1"/>
    <col min="5" max="5" width="2.140625" style="28" customWidth="1"/>
    <col min="6" max="6" width="16.28125" style="28" customWidth="1"/>
    <col min="7" max="7" width="2.140625" style="28" customWidth="1"/>
    <col min="8" max="8" width="17.421875" style="28" customWidth="1"/>
    <col min="9" max="9" width="2.140625" style="28" customWidth="1"/>
    <col min="10" max="10" width="17.421875" style="28" customWidth="1"/>
    <col min="11" max="11" width="3.00390625" style="28" customWidth="1"/>
    <col min="12" max="16384" width="9.140625" style="28" customWidth="1"/>
  </cols>
  <sheetData>
    <row r="1" spans="1:10" ht="25.5" customHeight="1">
      <c r="A1" s="27" t="s">
        <v>481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25.5" customHeight="1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0" s="16" customFormat="1" ht="25.5" customHeight="1">
      <c r="A3" s="7" t="s">
        <v>78</v>
      </c>
      <c r="B3" s="42"/>
      <c r="C3" s="42"/>
      <c r="D3" s="42"/>
      <c r="E3" s="42"/>
      <c r="F3" s="42"/>
      <c r="G3" s="42"/>
      <c r="H3" s="42"/>
      <c r="I3" s="42"/>
      <c r="J3" s="42"/>
    </row>
    <row r="4" spans="1:10" s="68" customFormat="1" ht="25.5" customHeight="1">
      <c r="A4" s="60"/>
      <c r="B4" s="60"/>
      <c r="C4" s="60"/>
      <c r="D4" s="66"/>
      <c r="E4" s="67"/>
      <c r="H4" s="71"/>
      <c r="I4" s="191"/>
      <c r="J4" s="187" t="s">
        <v>592</v>
      </c>
    </row>
    <row r="5" spans="1:10" s="68" customFormat="1" ht="25.5" customHeight="1">
      <c r="A5" s="60"/>
      <c r="B5" s="60"/>
      <c r="C5" s="60"/>
      <c r="D5" s="66"/>
      <c r="G5" s="69"/>
      <c r="H5" s="442"/>
      <c r="I5" s="435" t="s">
        <v>441</v>
      </c>
      <c r="J5" s="442"/>
    </row>
    <row r="6" spans="1:10" s="68" customFormat="1" ht="25.5" customHeight="1">
      <c r="A6" s="60"/>
      <c r="B6" s="60"/>
      <c r="C6" s="60"/>
      <c r="D6" s="66"/>
      <c r="E6" s="139"/>
      <c r="H6" s="443"/>
      <c r="I6" s="436" t="s">
        <v>442</v>
      </c>
      <c r="J6" s="443"/>
    </row>
    <row r="7" spans="1:10" ht="25.5" customHeight="1">
      <c r="A7" s="30"/>
      <c r="B7" s="30"/>
      <c r="C7" s="30"/>
      <c r="D7" s="30"/>
      <c r="E7" s="30"/>
      <c r="F7" s="30"/>
      <c r="G7" s="30"/>
      <c r="H7" s="75" t="s">
        <v>236</v>
      </c>
      <c r="I7" s="63"/>
      <c r="J7" s="75" t="s">
        <v>141</v>
      </c>
    </row>
    <row r="8" spans="2:10" ht="25.5" customHeight="1">
      <c r="B8" s="30" t="s">
        <v>301</v>
      </c>
      <c r="C8" s="30"/>
      <c r="D8" s="30"/>
      <c r="E8" s="30"/>
      <c r="F8" s="30"/>
      <c r="G8" s="30"/>
      <c r="H8" s="305">
        <v>60753000</v>
      </c>
      <c r="I8" s="141"/>
      <c r="J8" s="305">
        <v>60753000</v>
      </c>
    </row>
    <row r="9" spans="2:10" ht="25.5" customHeight="1">
      <c r="B9" s="30" t="s">
        <v>373</v>
      </c>
      <c r="C9" s="30"/>
      <c r="D9" s="30"/>
      <c r="E9" s="30"/>
      <c r="F9" s="30"/>
      <c r="G9" s="30"/>
      <c r="H9" s="650">
        <v>-18225900</v>
      </c>
      <c r="I9" s="141"/>
      <c r="J9" s="650">
        <v>-18225900</v>
      </c>
    </row>
    <row r="10" spans="1:10" ht="25.5" customHeight="1" thickBot="1">
      <c r="A10" s="30"/>
      <c r="B10" s="32" t="s">
        <v>300</v>
      </c>
      <c r="C10" s="31"/>
      <c r="D10" s="30"/>
      <c r="E10" s="30"/>
      <c r="F10" s="30"/>
      <c r="G10" s="30"/>
      <c r="H10" s="306">
        <f>SUM(H8:H9)</f>
        <v>42527100</v>
      </c>
      <c r="I10" s="141"/>
      <c r="J10" s="306">
        <f>SUM(J8:J9)</f>
        <v>42527100</v>
      </c>
    </row>
    <row r="11" spans="1:10" s="16" customFormat="1" ht="25.5" customHeight="1" thickTop="1">
      <c r="A11" s="6" t="s">
        <v>302</v>
      </c>
      <c r="B11" s="42"/>
      <c r="C11" s="42"/>
      <c r="D11" s="42"/>
      <c r="E11" s="42"/>
      <c r="F11" s="42"/>
      <c r="G11" s="42"/>
      <c r="H11" s="42"/>
      <c r="I11" s="42"/>
      <c r="J11" s="42"/>
    </row>
    <row r="12" spans="1:10" s="16" customFormat="1" ht="25.5" customHeight="1">
      <c r="A12" s="6" t="s">
        <v>303</v>
      </c>
      <c r="B12" s="42"/>
      <c r="C12" s="42"/>
      <c r="D12" s="42"/>
      <c r="E12" s="42"/>
      <c r="F12" s="42"/>
      <c r="G12" s="42"/>
      <c r="H12" s="42"/>
      <c r="I12" s="42"/>
      <c r="J12" s="42"/>
    </row>
    <row r="13" spans="1:10" s="16" customFormat="1" ht="25.5" customHeight="1">
      <c r="A13" s="6" t="s">
        <v>305</v>
      </c>
      <c r="B13" s="42"/>
      <c r="C13" s="42"/>
      <c r="D13" s="42"/>
      <c r="E13" s="42"/>
      <c r="F13" s="42"/>
      <c r="G13" s="42"/>
      <c r="H13" s="42"/>
      <c r="I13" s="42"/>
      <c r="J13" s="42"/>
    </row>
    <row r="14" spans="1:10" s="16" customFormat="1" ht="25.5" customHeight="1">
      <c r="A14" s="6" t="s">
        <v>304</v>
      </c>
      <c r="B14" s="42"/>
      <c r="C14" s="42"/>
      <c r="D14" s="42"/>
      <c r="E14" s="42"/>
      <c r="F14" s="42"/>
      <c r="G14" s="42"/>
      <c r="H14" s="42"/>
      <c r="I14" s="42"/>
      <c r="J14" s="42"/>
    </row>
    <row r="15" spans="1:10" s="16" customFormat="1" ht="25.5" customHeight="1">
      <c r="A15" s="6" t="s">
        <v>1099</v>
      </c>
      <c r="B15" s="42"/>
      <c r="C15" s="42"/>
      <c r="D15" s="42"/>
      <c r="E15" s="42"/>
      <c r="F15" s="42"/>
      <c r="G15" s="42"/>
      <c r="H15" s="42"/>
      <c r="I15" s="42"/>
      <c r="J15" s="42"/>
    </row>
    <row r="16" spans="1:10" s="16" customFormat="1" ht="25.5" customHeight="1">
      <c r="A16" s="6" t="s">
        <v>520</v>
      </c>
      <c r="B16" s="42"/>
      <c r="C16" s="42"/>
      <c r="D16" s="42"/>
      <c r="E16" s="42"/>
      <c r="F16" s="42"/>
      <c r="G16" s="42"/>
      <c r="H16" s="42"/>
      <c r="I16" s="42"/>
      <c r="J16" s="42"/>
    </row>
    <row r="17" spans="1:10" s="16" customFormat="1" ht="25.5" customHeight="1">
      <c r="A17" s="6"/>
      <c r="B17" s="42"/>
      <c r="C17" s="42"/>
      <c r="D17" s="42"/>
      <c r="E17" s="42"/>
      <c r="F17" s="42"/>
      <c r="G17" s="42"/>
      <c r="H17" s="42"/>
      <c r="I17" s="42"/>
      <c r="J17" s="42"/>
    </row>
    <row r="18" spans="1:10" ht="25.5" customHeight="1">
      <c r="A18" s="307" t="s">
        <v>803</v>
      </c>
      <c r="B18" s="307"/>
      <c r="C18" s="307"/>
      <c r="D18" s="307"/>
      <c r="E18" s="307"/>
      <c r="F18" s="307"/>
      <c r="G18" s="307"/>
      <c r="H18" s="307"/>
      <c r="I18" s="155"/>
      <c r="J18" s="155"/>
    </row>
    <row r="19" spans="1:10" ht="25.5" customHeight="1">
      <c r="A19" s="307"/>
      <c r="B19" s="307"/>
      <c r="C19" s="307"/>
      <c r="D19" s="307"/>
      <c r="E19" s="307"/>
      <c r="F19" s="307"/>
      <c r="G19" s="307"/>
      <c r="H19" s="307"/>
      <c r="I19" s="155"/>
      <c r="J19" s="74" t="s">
        <v>81</v>
      </c>
    </row>
    <row r="20" spans="1:10" ht="25.5" customHeight="1">
      <c r="A20" s="307"/>
      <c r="B20" s="307"/>
      <c r="C20" s="307"/>
      <c r="D20" s="307"/>
      <c r="E20" s="307"/>
      <c r="F20" s="308" t="s">
        <v>796</v>
      </c>
      <c r="G20" s="308"/>
      <c r="H20" s="308" t="s">
        <v>797</v>
      </c>
      <c r="I20" s="309"/>
      <c r="J20" s="310" t="s">
        <v>402</v>
      </c>
    </row>
    <row r="21" spans="1:10" ht="25.5" customHeight="1">
      <c r="A21" s="307"/>
      <c r="B21" s="312" t="s">
        <v>1173</v>
      </c>
      <c r="C21" s="307"/>
      <c r="D21" s="307"/>
      <c r="E21" s="307"/>
      <c r="F21" s="307"/>
      <c r="G21" s="307"/>
      <c r="H21" s="307"/>
      <c r="I21" s="155"/>
      <c r="J21" s="155"/>
    </row>
    <row r="22" spans="1:10" ht="25.5" customHeight="1">
      <c r="A22" s="307"/>
      <c r="B22" s="6" t="s">
        <v>799</v>
      </c>
      <c r="C22" s="307"/>
      <c r="D22" s="307"/>
      <c r="E22" s="307"/>
      <c r="F22" s="313">
        <v>13715664.97</v>
      </c>
      <c r="G22" s="314"/>
      <c r="H22" s="313">
        <v>1401200.8</v>
      </c>
      <c r="I22" s="316"/>
      <c r="J22" s="316">
        <f>SUM(F22:H22)</f>
        <v>15116865.770000001</v>
      </c>
    </row>
    <row r="23" spans="1:10" ht="25.5" customHeight="1">
      <c r="A23" s="307"/>
      <c r="B23" s="6" t="s">
        <v>798</v>
      </c>
      <c r="C23" s="307"/>
      <c r="D23" s="307"/>
      <c r="E23" s="307"/>
      <c r="F23" s="313">
        <v>517615.28</v>
      </c>
      <c r="G23" s="314"/>
      <c r="H23" s="313">
        <v>31620.09</v>
      </c>
      <c r="I23" s="316"/>
      <c r="J23" s="316">
        <f>SUM(F23:H23)</f>
        <v>549235.37</v>
      </c>
    </row>
    <row r="24" spans="1:10" ht="25.5" customHeight="1">
      <c r="A24" s="307"/>
      <c r="B24" s="6" t="s">
        <v>461</v>
      </c>
      <c r="C24" s="307"/>
      <c r="D24" s="307"/>
      <c r="E24" s="307"/>
      <c r="F24" s="317">
        <f>SUM(F22:F23)</f>
        <v>14233280.25</v>
      </c>
      <c r="G24" s="316"/>
      <c r="H24" s="317">
        <f>SUM(H22:H23)</f>
        <v>1432820.8900000001</v>
      </c>
      <c r="I24" s="316"/>
      <c r="J24" s="317">
        <f>SUM(J22:J23)</f>
        <v>15666101.14</v>
      </c>
    </row>
    <row r="25" spans="1:10" ht="25.5" customHeight="1">
      <c r="A25" s="307"/>
      <c r="B25" s="6" t="s">
        <v>800</v>
      </c>
      <c r="C25" s="307"/>
      <c r="D25" s="307"/>
      <c r="E25" s="307"/>
      <c r="F25" s="316"/>
      <c r="G25" s="316"/>
      <c r="H25" s="316"/>
      <c r="I25" s="316"/>
      <c r="J25" s="316"/>
    </row>
    <row r="26" spans="1:10" ht="25.5" customHeight="1">
      <c r="A26" s="307"/>
      <c r="B26" s="6" t="s">
        <v>799</v>
      </c>
      <c r="C26" s="307"/>
      <c r="D26" s="307"/>
      <c r="E26" s="307"/>
      <c r="F26" s="650">
        <v>-13254290.63</v>
      </c>
      <c r="G26" s="650"/>
      <c r="H26" s="650">
        <v>-530831.65</v>
      </c>
      <c r="I26" s="650"/>
      <c r="J26" s="650">
        <f>+F26+H26</f>
        <v>-13785122.280000001</v>
      </c>
    </row>
    <row r="27" spans="1:10" ht="25.5" customHeight="1">
      <c r="A27" s="307"/>
      <c r="B27" s="6" t="s">
        <v>801</v>
      </c>
      <c r="C27" s="307"/>
      <c r="D27" s="307"/>
      <c r="E27" s="307"/>
      <c r="F27" s="650">
        <v>-217233.68</v>
      </c>
      <c r="G27" s="650"/>
      <c r="H27" s="650">
        <v>-112719.31</v>
      </c>
      <c r="I27" s="650"/>
      <c r="J27" s="650">
        <f>+F27+H27</f>
        <v>-329952.99</v>
      </c>
    </row>
    <row r="28" spans="1:10" ht="25.5" customHeight="1">
      <c r="A28" s="307"/>
      <c r="B28" s="6" t="s">
        <v>461</v>
      </c>
      <c r="C28" s="307"/>
      <c r="D28" s="307"/>
      <c r="E28" s="307"/>
      <c r="F28" s="651">
        <f>SUM(F26:F27)</f>
        <v>-13471524.31</v>
      </c>
      <c r="G28" s="650"/>
      <c r="H28" s="651">
        <f>SUM(H26:H27)</f>
        <v>-643550.96</v>
      </c>
      <c r="I28" s="650"/>
      <c r="J28" s="651">
        <f>SUM(J26:J27)</f>
        <v>-14115075.270000001</v>
      </c>
    </row>
    <row r="29" spans="1:10" s="320" customFormat="1" ht="25.5" customHeight="1">
      <c r="A29" s="318"/>
      <c r="B29" s="57" t="s">
        <v>802</v>
      </c>
      <c r="C29" s="318"/>
      <c r="D29" s="318"/>
      <c r="E29" s="318"/>
      <c r="F29" s="319"/>
      <c r="G29" s="319"/>
      <c r="H29" s="319"/>
      <c r="I29" s="319"/>
      <c r="J29" s="319"/>
    </row>
    <row r="30" spans="1:10" ht="25.5" customHeight="1" thickBot="1">
      <c r="A30" s="307"/>
      <c r="B30" s="6" t="s">
        <v>799</v>
      </c>
      <c r="C30" s="307"/>
      <c r="D30" s="307"/>
      <c r="E30" s="307"/>
      <c r="F30" s="321">
        <f>+F22+F26</f>
        <v>461374.33999999985</v>
      </c>
      <c r="G30" s="316"/>
      <c r="H30" s="321">
        <f>+H22+H26</f>
        <v>870369.15</v>
      </c>
      <c r="I30" s="316"/>
      <c r="J30" s="321">
        <f>+J22+J26</f>
        <v>1331743.4900000002</v>
      </c>
    </row>
    <row r="31" spans="1:10" ht="25.5" customHeight="1" thickBot="1" thickTop="1">
      <c r="A31" s="307"/>
      <c r="B31" s="6" t="s">
        <v>461</v>
      </c>
      <c r="C31" s="307"/>
      <c r="D31" s="307"/>
      <c r="E31" s="307"/>
      <c r="F31" s="321">
        <f>F24+F28</f>
        <v>761755.9399999995</v>
      </c>
      <c r="G31" s="316"/>
      <c r="H31" s="321">
        <f>H24+H28</f>
        <v>789269.9300000002</v>
      </c>
      <c r="I31" s="316"/>
      <c r="J31" s="321">
        <f>J24+J28</f>
        <v>1551025.8699999992</v>
      </c>
    </row>
    <row r="32" spans="1:8" s="155" customFormat="1" ht="25.5" customHeight="1" thickTop="1">
      <c r="A32" s="322" t="s">
        <v>462</v>
      </c>
      <c r="C32" s="307"/>
      <c r="D32" s="307"/>
      <c r="E32" s="307"/>
      <c r="F32" s="307"/>
      <c r="G32" s="307"/>
      <c r="H32" s="307"/>
    </row>
    <row r="33" s="155" customFormat="1" ht="25.5" customHeight="1">
      <c r="B33" s="322" t="s">
        <v>147</v>
      </c>
    </row>
    <row r="34" spans="1:10" s="155" customFormat="1" ht="24" customHeight="1">
      <c r="A34" s="642" t="s">
        <v>114</v>
      </c>
      <c r="B34" s="642"/>
      <c r="C34" s="642"/>
      <c r="D34" s="642"/>
      <c r="E34" s="642"/>
      <c r="F34" s="642"/>
      <c r="G34" s="642"/>
      <c r="H34" s="642"/>
      <c r="I34" s="642"/>
      <c r="J34" s="642"/>
    </row>
    <row r="35" s="155" customFormat="1" ht="24" customHeight="1">
      <c r="B35" s="322"/>
    </row>
    <row r="36" spans="1:8" s="141" customFormat="1" ht="24" customHeight="1">
      <c r="A36" s="140" t="s">
        <v>804</v>
      </c>
      <c r="B36" s="37"/>
      <c r="C36" s="37"/>
      <c r="D36" s="37"/>
      <c r="E36" s="37"/>
      <c r="F36" s="37"/>
      <c r="G36" s="37"/>
      <c r="H36" s="37"/>
    </row>
    <row r="37" spans="1:10" s="128" customFormat="1" ht="24" customHeight="1">
      <c r="A37" s="142"/>
      <c r="B37" s="142"/>
      <c r="C37" s="142"/>
      <c r="D37" s="20"/>
      <c r="E37" s="20"/>
      <c r="H37" s="444"/>
      <c r="I37" s="444"/>
      <c r="J37" s="445" t="s">
        <v>81</v>
      </c>
    </row>
    <row r="38" spans="1:10" s="128" customFormat="1" ht="24" customHeight="1">
      <c r="A38" s="142"/>
      <c r="B38" s="142"/>
      <c r="C38" s="142"/>
      <c r="D38" s="20"/>
      <c r="E38" s="20"/>
      <c r="H38" s="446"/>
      <c r="I38" s="437" t="s">
        <v>441</v>
      </c>
      <c r="J38" s="446"/>
    </row>
    <row r="39" spans="1:10" s="128" customFormat="1" ht="24" customHeight="1">
      <c r="A39" s="142"/>
      <c r="B39" s="142"/>
      <c r="C39" s="142"/>
      <c r="D39" s="20"/>
      <c r="E39" s="20"/>
      <c r="H39" s="447"/>
      <c r="I39" s="448" t="s">
        <v>442</v>
      </c>
      <c r="J39" s="447"/>
    </row>
    <row r="40" spans="4:10" s="19" customFormat="1" ht="24" customHeight="1">
      <c r="D40" s="20"/>
      <c r="E40" s="20"/>
      <c r="H40" s="151" t="s">
        <v>236</v>
      </c>
      <c r="J40" s="151" t="s">
        <v>141</v>
      </c>
    </row>
    <row r="41" spans="2:10" s="141" customFormat="1" ht="24" customHeight="1">
      <c r="B41" s="37" t="s">
        <v>602</v>
      </c>
      <c r="C41" s="37"/>
      <c r="D41" s="37"/>
      <c r="E41" s="37"/>
      <c r="F41" s="37"/>
      <c r="G41" s="37"/>
      <c r="H41" s="8">
        <v>3048502.21</v>
      </c>
      <c r="I41" s="152"/>
      <c r="J41" s="8">
        <v>9588798.07</v>
      </c>
    </row>
    <row r="42" spans="2:10" s="141" customFormat="1" ht="24" customHeight="1">
      <c r="B42" s="37" t="s">
        <v>603</v>
      </c>
      <c r="C42" s="37"/>
      <c r="D42" s="37"/>
      <c r="E42" s="37"/>
      <c r="F42" s="37"/>
      <c r="G42" s="37"/>
      <c r="H42" s="8">
        <v>460000000</v>
      </c>
      <c r="I42" s="152"/>
      <c r="J42" s="8">
        <v>1200000000</v>
      </c>
    </row>
    <row r="43" spans="1:10" s="141" customFormat="1" ht="24" customHeight="1" thickBot="1">
      <c r="A43" s="37"/>
      <c r="B43" s="124" t="s">
        <v>402</v>
      </c>
      <c r="C43" s="124"/>
      <c r="D43" s="37"/>
      <c r="E43" s="37"/>
      <c r="F43" s="37"/>
      <c r="G43" s="37"/>
      <c r="H43" s="153">
        <f>SUM(H41:H42)</f>
        <v>463048502.21</v>
      </c>
      <c r="I43" s="152"/>
      <c r="J43" s="153">
        <f>SUM(J41:J42)</f>
        <v>1209588798.07</v>
      </c>
    </row>
    <row r="44" s="37" customFormat="1" ht="24" customHeight="1" thickTop="1">
      <c r="A44" s="143" t="s">
        <v>805</v>
      </c>
    </row>
    <row r="45" spans="1:9" s="37" customFormat="1" ht="24" customHeight="1">
      <c r="A45" s="37" t="s">
        <v>1271</v>
      </c>
      <c r="H45" s="124"/>
      <c r="I45" s="124"/>
    </row>
    <row r="46" spans="1:9" s="137" customFormat="1" ht="24" customHeight="1">
      <c r="A46" s="137" t="s">
        <v>82</v>
      </c>
      <c r="H46" s="144"/>
      <c r="I46" s="144"/>
    </row>
    <row r="47" s="37" customFormat="1" ht="24" customHeight="1">
      <c r="A47" s="37" t="s">
        <v>806</v>
      </c>
    </row>
    <row r="48" spans="1:9" s="137" customFormat="1" ht="24" customHeight="1">
      <c r="A48" s="137" t="s">
        <v>1270</v>
      </c>
      <c r="F48" s="144"/>
      <c r="H48" s="144"/>
      <c r="I48" s="144"/>
    </row>
    <row r="49" spans="1:9" s="137" customFormat="1" ht="24" customHeight="1">
      <c r="A49" s="137" t="s">
        <v>1269</v>
      </c>
      <c r="F49" s="144"/>
      <c r="H49" s="144"/>
      <c r="I49" s="144"/>
    </row>
    <row r="50" s="137" customFormat="1" ht="24" customHeight="1">
      <c r="A50" s="137" t="s">
        <v>1267</v>
      </c>
    </row>
    <row r="51" s="37" customFormat="1" ht="24" customHeight="1">
      <c r="A51" s="37" t="s">
        <v>1268</v>
      </c>
    </row>
    <row r="52" s="37" customFormat="1" ht="24" customHeight="1">
      <c r="A52" s="122" t="s">
        <v>807</v>
      </c>
    </row>
    <row r="53" spans="1:10" s="37" customFormat="1" ht="24" customHeight="1">
      <c r="A53" s="63" t="s">
        <v>1259</v>
      </c>
      <c r="B53" s="137"/>
      <c r="C53" s="137"/>
      <c r="D53" s="137"/>
      <c r="E53" s="137"/>
      <c r="F53" s="137"/>
      <c r="G53" s="137"/>
      <c r="H53" s="137"/>
      <c r="I53" s="137"/>
      <c r="J53" s="137"/>
    </row>
    <row r="54" spans="1:10" s="37" customFormat="1" ht="24" customHeight="1">
      <c r="A54" s="63" t="s">
        <v>1258</v>
      </c>
      <c r="B54" s="137"/>
      <c r="C54" s="137"/>
      <c r="D54" s="137"/>
      <c r="E54" s="137"/>
      <c r="F54" s="137"/>
      <c r="G54" s="137"/>
      <c r="H54" s="137"/>
      <c r="I54" s="137"/>
      <c r="J54" s="137"/>
    </row>
    <row r="55" spans="1:10" s="37" customFormat="1" ht="24" customHeight="1">
      <c r="A55" s="63"/>
      <c r="B55" s="137"/>
      <c r="C55" s="137"/>
      <c r="D55" s="137"/>
      <c r="E55" s="137"/>
      <c r="F55" s="137"/>
      <c r="G55" s="137"/>
      <c r="H55" s="137"/>
      <c r="I55" s="137"/>
      <c r="J55" s="137"/>
    </row>
    <row r="56" spans="1:6" s="37" customFormat="1" ht="24" customHeight="1">
      <c r="A56" s="122" t="s">
        <v>148</v>
      </c>
      <c r="B56" s="36"/>
      <c r="C56" s="36"/>
      <c r="D56" s="36"/>
      <c r="E56" s="36"/>
      <c r="F56" s="36"/>
    </row>
    <row r="57" spans="1:6" s="37" customFormat="1" ht="24" customHeight="1">
      <c r="A57" s="19" t="s">
        <v>116</v>
      </c>
      <c r="B57" s="36"/>
      <c r="C57" s="36"/>
      <c r="D57" s="36"/>
      <c r="E57" s="36"/>
      <c r="F57" s="36"/>
    </row>
    <row r="58" spans="1:10" s="128" customFormat="1" ht="24" customHeight="1">
      <c r="A58" s="142"/>
      <c r="B58" s="142"/>
      <c r="C58" s="142"/>
      <c r="D58" s="20"/>
      <c r="E58" s="20"/>
      <c r="H58" s="444"/>
      <c r="I58" s="444"/>
      <c r="J58" s="446" t="s">
        <v>592</v>
      </c>
    </row>
    <row r="59" spans="1:10" s="128" customFormat="1" ht="24" customHeight="1">
      <c r="A59" s="142"/>
      <c r="B59" s="142"/>
      <c r="C59" s="142"/>
      <c r="D59" s="20"/>
      <c r="E59" s="20"/>
      <c r="H59" s="449"/>
      <c r="I59" s="437" t="s">
        <v>441</v>
      </c>
      <c r="J59" s="437"/>
    </row>
    <row r="60" spans="1:10" s="128" customFormat="1" ht="24" customHeight="1">
      <c r="A60" s="142"/>
      <c r="B60" s="142"/>
      <c r="C60" s="142"/>
      <c r="D60" s="20"/>
      <c r="E60" s="20"/>
      <c r="H60" s="450"/>
      <c r="I60" s="448" t="s">
        <v>442</v>
      </c>
      <c r="J60" s="451"/>
    </row>
    <row r="61" spans="4:10" s="19" customFormat="1" ht="24" customHeight="1">
      <c r="D61" s="20"/>
      <c r="E61" s="20"/>
      <c r="H61" s="151" t="s">
        <v>236</v>
      </c>
      <c r="J61" s="151" t="s">
        <v>141</v>
      </c>
    </row>
    <row r="62" spans="1:10" s="37" customFormat="1" ht="24" customHeight="1">
      <c r="A62" s="143" t="s">
        <v>676</v>
      </c>
      <c r="D62" s="36"/>
      <c r="E62" s="36"/>
      <c r="F62" s="36"/>
      <c r="H62" s="37">
        <v>300000000</v>
      </c>
      <c r="J62" s="323">
        <v>0</v>
      </c>
    </row>
    <row r="63" spans="1:10" s="37" customFormat="1" ht="24" customHeight="1">
      <c r="A63" s="19" t="s">
        <v>506</v>
      </c>
      <c r="B63" s="20"/>
      <c r="C63" s="20"/>
      <c r="D63" s="20"/>
      <c r="E63" s="20"/>
      <c r="F63" s="20"/>
      <c r="H63" s="323">
        <v>-120000000</v>
      </c>
      <c r="I63" s="324"/>
      <c r="J63" s="323">
        <v>0</v>
      </c>
    </row>
    <row r="64" spans="1:10" s="37" customFormat="1" ht="24" customHeight="1" thickBot="1">
      <c r="A64" s="143" t="s">
        <v>507</v>
      </c>
      <c r="B64" s="36"/>
      <c r="C64" s="36"/>
      <c r="D64" s="20"/>
      <c r="E64" s="20"/>
      <c r="F64" s="20"/>
      <c r="H64" s="325">
        <f>SUM(H62:H63)</f>
        <v>180000000</v>
      </c>
      <c r="I64" s="324"/>
      <c r="J64" s="325">
        <f>SUM(J62:J63)</f>
        <v>0</v>
      </c>
    </row>
    <row r="65" spans="1:10" s="19" customFormat="1" ht="24" customHeight="1" thickTop="1">
      <c r="A65" s="63" t="s">
        <v>1266</v>
      </c>
      <c r="B65" s="335"/>
      <c r="C65" s="335"/>
      <c r="D65" s="335"/>
      <c r="E65" s="335"/>
      <c r="F65" s="586"/>
      <c r="G65" s="335"/>
      <c r="H65" s="335"/>
      <c r="I65" s="335"/>
      <c r="J65" s="335"/>
    </row>
    <row r="66" spans="1:10" s="19" customFormat="1" ht="24" customHeight="1">
      <c r="A66" s="63" t="s">
        <v>1265</v>
      </c>
      <c r="B66" s="335"/>
      <c r="C66" s="335"/>
      <c r="D66" s="335"/>
      <c r="E66" s="335"/>
      <c r="F66" s="586"/>
      <c r="G66" s="335"/>
      <c r="H66" s="335"/>
      <c r="I66" s="335"/>
      <c r="J66" s="335"/>
    </row>
    <row r="67" spans="1:11" s="19" customFormat="1" ht="24" customHeight="1">
      <c r="A67" s="63" t="s">
        <v>1264</v>
      </c>
      <c r="B67" s="326"/>
      <c r="C67" s="326"/>
      <c r="D67" s="326"/>
      <c r="E67" s="326"/>
      <c r="F67" s="144"/>
      <c r="G67" s="326"/>
      <c r="H67" s="327"/>
      <c r="I67" s="326"/>
      <c r="J67" s="326"/>
      <c r="K67" s="20"/>
    </row>
    <row r="68" spans="1:11" s="19" customFormat="1" ht="24" customHeight="1">
      <c r="A68" s="63" t="s">
        <v>1263</v>
      </c>
      <c r="B68" s="326"/>
      <c r="C68" s="326"/>
      <c r="D68" s="326"/>
      <c r="E68" s="326"/>
      <c r="F68" s="144"/>
      <c r="G68" s="326"/>
      <c r="H68" s="327"/>
      <c r="I68" s="326"/>
      <c r="J68" s="326"/>
      <c r="K68" s="20"/>
    </row>
    <row r="69" spans="1:10" s="155" customFormat="1" ht="25.5" customHeight="1">
      <c r="A69" s="642" t="s">
        <v>307</v>
      </c>
      <c r="B69" s="642"/>
      <c r="C69" s="642"/>
      <c r="D69" s="642"/>
      <c r="E69" s="642"/>
      <c r="F69" s="642"/>
      <c r="G69" s="642"/>
      <c r="H69" s="642"/>
      <c r="I69" s="642"/>
      <c r="J69" s="642"/>
    </row>
    <row r="70" spans="2:11" s="19" customFormat="1" ht="25.5" customHeight="1">
      <c r="B70" s="147"/>
      <c r="C70" s="147"/>
      <c r="D70" s="147"/>
      <c r="E70" s="147"/>
      <c r="F70" s="124"/>
      <c r="G70" s="147"/>
      <c r="H70" s="147"/>
      <c r="I70" s="147"/>
      <c r="J70" s="147"/>
      <c r="K70" s="20"/>
    </row>
    <row r="71" spans="1:10" s="19" customFormat="1" ht="25.5" customHeight="1">
      <c r="A71" s="122" t="s">
        <v>836</v>
      </c>
      <c r="B71" s="148"/>
      <c r="C71" s="148"/>
      <c r="D71" s="148"/>
      <c r="E71" s="148"/>
      <c r="F71" s="148"/>
      <c r="G71" s="37"/>
      <c r="H71" s="328"/>
      <c r="I71" s="148"/>
      <c r="J71" s="149"/>
    </row>
    <row r="72" spans="1:10" s="128" customFormat="1" ht="25.5" customHeight="1">
      <c r="A72" s="142"/>
      <c r="B72" s="142"/>
      <c r="C72" s="142"/>
      <c r="D72" s="20"/>
      <c r="E72" s="20"/>
      <c r="H72" s="452"/>
      <c r="I72" s="444"/>
      <c r="J72" s="446" t="s">
        <v>592</v>
      </c>
    </row>
    <row r="73" spans="1:10" s="128" customFormat="1" ht="25.5" customHeight="1">
      <c r="A73" s="142"/>
      <c r="B73" s="142"/>
      <c r="C73" s="142"/>
      <c r="D73" s="20"/>
      <c r="E73" s="20"/>
      <c r="H73" s="643" t="s">
        <v>441</v>
      </c>
      <c r="I73" s="643"/>
      <c r="J73" s="643"/>
    </row>
    <row r="74" spans="1:10" s="128" customFormat="1" ht="25.5" customHeight="1">
      <c r="A74" s="142"/>
      <c r="B74" s="142"/>
      <c r="C74" s="142"/>
      <c r="D74" s="20"/>
      <c r="E74" s="20"/>
      <c r="H74" s="450"/>
      <c r="I74" s="448" t="s">
        <v>442</v>
      </c>
      <c r="J74" s="450"/>
    </row>
    <row r="75" spans="4:10" s="19" customFormat="1" ht="25.5" customHeight="1">
      <c r="D75" s="20"/>
      <c r="E75" s="644" t="s">
        <v>349</v>
      </c>
      <c r="F75" s="644"/>
      <c r="G75" s="644"/>
      <c r="H75" s="75" t="s">
        <v>236</v>
      </c>
      <c r="J75" s="75" t="s">
        <v>141</v>
      </c>
    </row>
    <row r="76" spans="1:10" s="19" customFormat="1" ht="25.5" customHeight="1">
      <c r="A76" s="19" t="s">
        <v>604</v>
      </c>
      <c r="B76" s="20"/>
      <c r="C76" s="20"/>
      <c r="D76" s="20"/>
      <c r="E76" s="20"/>
      <c r="F76" s="124" t="s">
        <v>110</v>
      </c>
      <c r="H76" s="36">
        <v>20000000</v>
      </c>
      <c r="J76" s="36">
        <v>20000000</v>
      </c>
    </row>
    <row r="77" spans="1:10" s="19" customFormat="1" ht="25.5" customHeight="1">
      <c r="A77" s="19" t="s">
        <v>605</v>
      </c>
      <c r="B77" s="20"/>
      <c r="C77" s="20"/>
      <c r="D77" s="20"/>
      <c r="E77" s="20"/>
      <c r="F77" s="124" t="s">
        <v>110</v>
      </c>
      <c r="H77" s="36">
        <v>40000000</v>
      </c>
      <c r="J77" s="36">
        <v>40000000</v>
      </c>
    </row>
    <row r="78" spans="1:10" s="19" customFormat="1" ht="25.5" customHeight="1">
      <c r="A78" s="19" t="s">
        <v>606</v>
      </c>
      <c r="B78" s="20"/>
      <c r="C78" s="20"/>
      <c r="D78" s="20"/>
      <c r="E78" s="20"/>
      <c r="F78" s="124" t="s">
        <v>110</v>
      </c>
      <c r="H78" s="36">
        <v>40000000</v>
      </c>
      <c r="J78" s="36">
        <v>40000000</v>
      </c>
    </row>
    <row r="79" spans="1:10" s="19" customFormat="1" ht="25.5" customHeight="1">
      <c r="A79" s="19" t="s">
        <v>607</v>
      </c>
      <c r="B79" s="20"/>
      <c r="C79" s="20"/>
      <c r="D79" s="20"/>
      <c r="E79" s="20"/>
      <c r="F79" s="124" t="s">
        <v>110</v>
      </c>
      <c r="H79" s="36">
        <v>100000000</v>
      </c>
      <c r="J79" s="150">
        <v>100000000</v>
      </c>
    </row>
    <row r="80" spans="2:10" s="19" customFormat="1" ht="25.5" customHeight="1">
      <c r="B80" s="20" t="s">
        <v>1082</v>
      </c>
      <c r="C80" s="20"/>
      <c r="D80" s="20"/>
      <c r="E80" s="20"/>
      <c r="F80" s="124"/>
      <c r="H80" s="329">
        <f>SUM(H76:H79)</f>
        <v>200000000</v>
      </c>
      <c r="J80" s="146">
        <f>SUM(J76:J79)</f>
        <v>200000000</v>
      </c>
    </row>
    <row r="81" spans="1:10" s="19" customFormat="1" ht="25.5" customHeight="1">
      <c r="A81" s="19" t="s">
        <v>79</v>
      </c>
      <c r="B81" s="20"/>
      <c r="C81" s="20"/>
      <c r="D81" s="20"/>
      <c r="E81" s="20"/>
      <c r="F81" s="124"/>
      <c r="H81" s="330">
        <v>-200000000</v>
      </c>
      <c r="J81" s="467">
        <v>0</v>
      </c>
    </row>
    <row r="82" spans="1:10" s="19" customFormat="1" ht="25.5" customHeight="1" thickBot="1">
      <c r="A82" s="19" t="s">
        <v>80</v>
      </c>
      <c r="B82" s="20"/>
      <c r="C82" s="20"/>
      <c r="D82" s="20"/>
      <c r="E82" s="20"/>
      <c r="H82" s="331">
        <f>SUM(H80:H81)</f>
        <v>0</v>
      </c>
      <c r="J82" s="145">
        <f>SUM(J80:J81)</f>
        <v>200000000</v>
      </c>
    </row>
    <row r="83" spans="1:9" s="63" customFormat="1" ht="25.5" customHeight="1" thickTop="1">
      <c r="A83" s="137" t="s">
        <v>1260</v>
      </c>
      <c r="B83" s="332"/>
      <c r="C83" s="333"/>
      <c r="D83" s="334"/>
      <c r="E83" s="334"/>
      <c r="F83" s="333"/>
      <c r="G83" s="333"/>
      <c r="H83" s="335"/>
      <c r="I83" s="336"/>
    </row>
    <row r="84" spans="1:9" s="63" customFormat="1" ht="25.5" customHeight="1">
      <c r="A84" s="137" t="s">
        <v>1261</v>
      </c>
      <c r="B84" s="333"/>
      <c r="C84" s="333"/>
      <c r="D84" s="334"/>
      <c r="E84" s="334"/>
      <c r="F84" s="333"/>
      <c r="G84" s="333"/>
      <c r="H84" s="335"/>
      <c r="I84" s="336"/>
    </row>
    <row r="85" spans="1:9" s="63" customFormat="1" ht="25.5" customHeight="1">
      <c r="A85" s="137" t="s">
        <v>1262</v>
      </c>
      <c r="B85" s="333"/>
      <c r="C85" s="333"/>
      <c r="D85" s="334"/>
      <c r="E85" s="334"/>
      <c r="F85" s="333"/>
      <c r="G85" s="333"/>
      <c r="H85" s="335"/>
      <c r="I85" s="336"/>
    </row>
    <row r="86" spans="1:3" s="1" customFormat="1" ht="25.5" customHeight="1">
      <c r="A86" s="7" t="s">
        <v>838</v>
      </c>
      <c r="B86" s="6"/>
      <c r="C86" s="3"/>
    </row>
    <row r="87" spans="1:3" s="1" customFormat="1" ht="25.5" customHeight="1">
      <c r="A87" s="6" t="s">
        <v>837</v>
      </c>
      <c r="B87" s="6"/>
      <c r="C87" s="3"/>
    </row>
    <row r="88" spans="1:3" s="1" customFormat="1" ht="25.5" customHeight="1">
      <c r="A88" s="6" t="s">
        <v>512</v>
      </c>
      <c r="B88" s="6"/>
      <c r="C88" s="3"/>
    </row>
    <row r="89" spans="1:3" s="1" customFormat="1" ht="25.5" customHeight="1">
      <c r="A89" s="6" t="s">
        <v>508</v>
      </c>
      <c r="B89" s="6"/>
      <c r="C89" s="3"/>
    </row>
    <row r="90" spans="1:3" s="1" customFormat="1" ht="25.5" customHeight="1">
      <c r="A90" s="6" t="s">
        <v>306</v>
      </c>
      <c r="B90" s="6"/>
      <c r="C90" s="3"/>
    </row>
    <row r="91" spans="1:3" ht="25.5" customHeight="1">
      <c r="A91" s="337" t="s">
        <v>509</v>
      </c>
      <c r="B91" s="338"/>
      <c r="C91" s="338"/>
    </row>
    <row r="92" spans="1:3" ht="25.5" customHeight="1">
      <c r="A92" s="137" t="s">
        <v>292</v>
      </c>
      <c r="B92" s="338"/>
      <c r="C92" s="338"/>
    </row>
    <row r="93" spans="1:3" ht="25.5" customHeight="1">
      <c r="A93" s="137" t="s">
        <v>1109</v>
      </c>
      <c r="B93" s="338"/>
      <c r="C93" s="338"/>
    </row>
    <row r="94" spans="1:3" ht="25.5" customHeight="1">
      <c r="A94" s="137" t="s">
        <v>1110</v>
      </c>
      <c r="B94" s="338"/>
      <c r="C94" s="338"/>
    </row>
    <row r="95" spans="1:3" ht="25.5" customHeight="1">
      <c r="A95" s="137" t="s">
        <v>1111</v>
      </c>
      <c r="B95" s="338"/>
      <c r="C95" s="338"/>
    </row>
    <row r="96" spans="1:3" ht="25.5" customHeight="1">
      <c r="A96" s="137" t="s">
        <v>839</v>
      </c>
      <c r="B96" s="338"/>
      <c r="C96" s="338"/>
    </row>
    <row r="97" spans="1:3" ht="25.5" customHeight="1">
      <c r="A97" s="137" t="s">
        <v>840</v>
      </c>
      <c r="B97" s="338"/>
      <c r="C97" s="338"/>
    </row>
    <row r="98" spans="1:2" ht="25.5" customHeight="1">
      <c r="A98" s="339" t="s">
        <v>1112</v>
      </c>
      <c r="B98" s="144"/>
    </row>
    <row r="99" spans="1:2" ht="25.5" customHeight="1">
      <c r="A99" s="60" t="s">
        <v>551</v>
      </c>
      <c r="B99" s="63"/>
    </row>
    <row r="100" spans="1:2" ht="25.5" customHeight="1">
      <c r="A100" s="340" t="s">
        <v>833</v>
      </c>
      <c r="B100" s="340"/>
    </row>
    <row r="101" spans="1:2" ht="25.5" customHeight="1">
      <c r="A101" s="340" t="s">
        <v>832</v>
      </c>
      <c r="B101" s="340"/>
    </row>
    <row r="102" ht="24" customHeight="1"/>
  </sheetData>
  <sheetProtection/>
  <mergeCells count="4">
    <mergeCell ref="A34:J34"/>
    <mergeCell ref="A69:J69"/>
    <mergeCell ref="H73:J73"/>
    <mergeCell ref="E75:G75"/>
  </mergeCells>
  <printOptions horizontalCentered="1"/>
  <pageMargins left="0" right="0" top="0.5905511811023623" bottom="0.4724409448818898" header="0.2362204724409449" footer="0.2362204724409449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osf</dc:creator>
  <cp:keywords/>
  <dc:description/>
  <cp:lastModifiedBy>owner</cp:lastModifiedBy>
  <cp:lastPrinted>2010-03-21T02:48:54Z</cp:lastPrinted>
  <dcterms:created xsi:type="dcterms:W3CDTF">2003-02-08T06:45:22Z</dcterms:created>
  <dcterms:modified xsi:type="dcterms:W3CDTF">2010-03-22T08:14:00Z</dcterms:modified>
  <cp:category/>
  <cp:version/>
  <cp:contentType/>
  <cp:contentStatus/>
</cp:coreProperties>
</file>