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25" activeTab="0"/>
  </bookViews>
  <sheets>
    <sheet name="BS" sheetId="1" r:id="rId1"/>
    <sheet name="PL" sheetId="2" r:id="rId2"/>
    <sheet name="งบแสดงฯ " sheetId="3" r:id="rId3"/>
    <sheet name="งบแสดงฯ เฉพาะ" sheetId="4" r:id="rId4"/>
    <sheet name="Cash Flow " sheetId="5" r:id="rId5"/>
  </sheets>
  <definedNames/>
  <calcPr fullCalcOnLoad="1"/>
</workbook>
</file>

<file path=xl/sharedStrings.xml><?xml version="1.0" encoding="utf-8"?>
<sst xmlns="http://schemas.openxmlformats.org/spreadsheetml/2006/main" count="372" uniqueCount="234">
  <si>
    <t>บริษัท สหพัฒนาอินเตอร์โฮลดิ้ง จำกัด (มหาชน)</t>
  </si>
  <si>
    <t xml:space="preserve">สินทรัพย์ </t>
  </si>
  <si>
    <t>หมายเหตุ</t>
  </si>
  <si>
    <t>สินทรัพย์หมุนเวียน</t>
  </si>
  <si>
    <t>สินทรัพย์ไม่หมุนเวียน</t>
  </si>
  <si>
    <t>หมายเหตุประกอบงบการเงินเป็นส่วนหนึ่งของงบการเงินนี้</t>
  </si>
  <si>
    <t>- 2 -</t>
  </si>
  <si>
    <t>หนี้สินและส่วนของผู้ถือหุ้น</t>
  </si>
  <si>
    <t>หนี้สินหมุนเวียน</t>
  </si>
  <si>
    <t xml:space="preserve"> </t>
  </si>
  <si>
    <t>หนี้สินไม่หมุนเวียน</t>
  </si>
  <si>
    <t>- 3 -</t>
  </si>
  <si>
    <t xml:space="preserve">      หนี้สินและส่วนของผู้ถือหุ้น  (ต่อ)</t>
  </si>
  <si>
    <t>ส่วนของผู้ถือหุ้น</t>
  </si>
  <si>
    <t>รวมหนี้สินและส่วนของผู้ถือหุ้น</t>
  </si>
  <si>
    <t>รายได้</t>
  </si>
  <si>
    <t xml:space="preserve"> - 2 -</t>
  </si>
  <si>
    <t>ค่าใช้จ่าย</t>
  </si>
  <si>
    <t>กำไรต่อหุ้นขั้นพื้นฐาน</t>
  </si>
  <si>
    <t>งบแสดงการเปลี่ยนแปลงในส่วนของผู้ถือหุ้น</t>
  </si>
  <si>
    <t>ทุนเรือนหุ้นที่</t>
  </si>
  <si>
    <t>สำรองทั่วไป</t>
  </si>
  <si>
    <t>กำไรสะสม</t>
  </si>
  <si>
    <t>รวม</t>
  </si>
  <si>
    <t>มูลค่าหุ้น</t>
  </si>
  <si>
    <t>เพิ่ม (ลด) ระหว่างงวด</t>
  </si>
  <si>
    <t>กระแสเงินสดจากกิจกรรมดำเนินงาน</t>
  </si>
  <si>
    <t xml:space="preserve">               ค่าเสื่อมราคาและรายการตัดบัญชี</t>
  </si>
  <si>
    <t xml:space="preserve">               ส่วนแบ่ง(กำไร)จากเงินลงทุนตามวิธีส่วนได้เสีย</t>
  </si>
  <si>
    <t xml:space="preserve">               ส่วนแบ่งขาดทุนจากเงินลงทุนตามวิธีส่วนได้เสีย</t>
  </si>
  <si>
    <t xml:space="preserve">               เงินปันผลรับจากการลงทุน</t>
  </si>
  <si>
    <t xml:space="preserve">               (กำไร) ขาดทุนจากการขายหลักทรัพย์</t>
  </si>
  <si>
    <t xml:space="preserve">     กำไร(ขาดทุน)จากการดำเนินงานก่อนการเปลี่ยนแปลง</t>
  </si>
  <si>
    <t xml:space="preserve">          ในสินทรัพย์และหนี้สินดำเนินงาน</t>
  </si>
  <si>
    <t xml:space="preserve">     สินทรัพย์ดำเนินงาน(เพิ่มขึ้น)ลดลง</t>
  </si>
  <si>
    <t xml:space="preserve">               สินค้าคงเหลือ</t>
  </si>
  <si>
    <t xml:space="preserve">               รายได้ค้างรับกิจการที่เกี่ยวข้องกัน</t>
  </si>
  <si>
    <t xml:space="preserve">               สินทรัพย์หมุนเวียนอื่น</t>
  </si>
  <si>
    <t xml:space="preserve">     หนี้สินดำเนินงานเพิ่มขึ้น(ลดลง)</t>
  </si>
  <si>
    <t xml:space="preserve">               หนี้สินหมุนเวียนอื่น</t>
  </si>
  <si>
    <t>เงินสดสุทธิได้มา(ใช้ไป)จากกิจกรรมดำเนินงาน</t>
  </si>
  <si>
    <t>กระแสเงินสดจากกิจกรรมลงทุน</t>
  </si>
  <si>
    <t>เงินสดสุทธิได้มา(ใช้ไป)จากกิจกรรมลงทุน</t>
  </si>
  <si>
    <t>กระแสเงินสดจากกิจกรรมจัดหาเงิน</t>
  </si>
  <si>
    <t xml:space="preserve">               เงินเบิกเกินบัญชีธนาคารและเงินกู้ยืม</t>
  </si>
  <si>
    <t xml:space="preserve">                       จากสถาบันการเงินเพิ่มขึ้น(ลดลง)</t>
  </si>
  <si>
    <t>เงินสดสุทธิได้มา(ใช้ไป)จากกิจกรรมจัดหาเงิน</t>
  </si>
  <si>
    <t>เงินสดและรายการเทียบเท่าเงินสดเพิ่มขึ้น(ลดลง)สุทธิ</t>
  </si>
  <si>
    <t xml:space="preserve">               อสังหาริมทรัพย์ตามสัญญาจะซื้อจะขาย</t>
  </si>
  <si>
    <t>รายได้อื่น</t>
  </si>
  <si>
    <t>ต้นทุนขายอสังหาริมทรัพย์</t>
  </si>
  <si>
    <t xml:space="preserve">               ซื้อหลักทรัพย์หุ้นทุน</t>
  </si>
  <si>
    <t xml:space="preserve">               ซื้อที่ดิน อาคารและอุปกรณ์</t>
  </si>
  <si>
    <t xml:space="preserve">               รายได้ค้างรับ - บริษัทอื่น</t>
  </si>
  <si>
    <t xml:space="preserve">               สินทรัพย์ไม่หมุนเวียนอื่น</t>
  </si>
  <si>
    <t xml:space="preserve">               อสังหาริมทรัพย์รอการขาย</t>
  </si>
  <si>
    <t>ส่วนแบ่งกำไรจากเงินลงทุนในบริษัทร่วม</t>
  </si>
  <si>
    <t xml:space="preserve">      ตามวิธีส่วนได้เสีย</t>
  </si>
  <si>
    <t xml:space="preserve">                    เป็นเงินสดรับ(จ่าย)จากกิจกรรมดำเนินงาน</t>
  </si>
  <si>
    <t xml:space="preserve">     บวก  รายการปรับกระทบยอดกำไร(ขาดทุน)สุทธิ</t>
  </si>
  <si>
    <t>งบการเงินเฉพาะกิจการ</t>
  </si>
  <si>
    <t>งบการเงินที่แสดงเงินลงทุนตามวิธีส่วนได้เสีย</t>
  </si>
  <si>
    <t xml:space="preserve">     เงินสดและรายการเทียบเท่าเงินสด</t>
  </si>
  <si>
    <t xml:space="preserve">     รายได้ค้างรับอื่น -  สุทธิ</t>
  </si>
  <si>
    <t xml:space="preserve">     สินค้าคงเหลือ - สุทธิ</t>
  </si>
  <si>
    <t xml:space="preserve">     สินทรัพย์หมุนเวียนอื่น</t>
  </si>
  <si>
    <t xml:space="preserve">                 รวมสินทรัพย์หมุนเวียนอื่น</t>
  </si>
  <si>
    <t xml:space="preserve">                 รวมสินทรัพย์หมุนเวียน</t>
  </si>
  <si>
    <t xml:space="preserve">     เงินลงทุนในกิจการที่เกี่ยวข้องกัน </t>
  </si>
  <si>
    <t xml:space="preserve">     เงินลงทุนระยะยาวอื่น</t>
  </si>
  <si>
    <t xml:space="preserve">     อสังหาริมทรัพย์ตามสัญญาจะซื้อจะขาย</t>
  </si>
  <si>
    <t xml:space="preserve">     ที่ดิน อาคารและอุปกรณ์ - สุทธิ</t>
  </si>
  <si>
    <t xml:space="preserve">     สินทรัพย์ไม่หมุนเวียนอื่น</t>
  </si>
  <si>
    <t xml:space="preserve">            เงินมัดจำค่าที่ดิน</t>
  </si>
  <si>
    <t xml:space="preserve">            ภาษีหัก ณ ที่จ่าย</t>
  </si>
  <si>
    <t xml:space="preserve">            อื่น  ๆ </t>
  </si>
  <si>
    <t xml:space="preserve">                 รวมสินทรัพย์ไม่หมุนเวียนอื่น</t>
  </si>
  <si>
    <t xml:space="preserve">                 รวมสินทรัพย์ไม่หมุนเวียน</t>
  </si>
  <si>
    <t xml:space="preserve">                 รวมสินทรัพย์</t>
  </si>
  <si>
    <t xml:space="preserve">     หุ้นกู้แปลงสภาพเป็นหุ้นสามัญ</t>
  </si>
  <si>
    <t xml:space="preserve">     หนี้สินหมุนเวียนอื่น</t>
  </si>
  <si>
    <t xml:space="preserve">          ดอกเบี้ยค้างจ่าย</t>
  </si>
  <si>
    <t xml:space="preserve">          ค่าไฟฟ้าค้างจ่าย</t>
  </si>
  <si>
    <t xml:space="preserve">          ค่าใช้จ่ายค้างจ่าย</t>
  </si>
  <si>
    <t xml:space="preserve">          อื่น ๆ</t>
  </si>
  <si>
    <t xml:space="preserve">     เจ้าหนี้เงินลงทุน</t>
  </si>
  <si>
    <t xml:space="preserve">     ภาระหนี้สินจากการค้ำประกัน</t>
  </si>
  <si>
    <t xml:space="preserve">                 รวมหนี้สินหมุนเวียนอื่น</t>
  </si>
  <si>
    <t xml:space="preserve">                 รวมหนี้สินหมุนเวียน</t>
  </si>
  <si>
    <t xml:space="preserve">                 รวมหนี้สินไม่หมุนเวียน</t>
  </si>
  <si>
    <t xml:space="preserve">                 รวมหนี้สิน</t>
  </si>
  <si>
    <t xml:space="preserve">     เงินเบิกเกินบัญชีและเงินกู้ยืมจาก</t>
  </si>
  <si>
    <t xml:space="preserve">     ส่วนของหนี้สินระยะยาวที่ถึง</t>
  </si>
  <si>
    <t xml:space="preserve">        กำหนดชำระใน 1 ปี</t>
  </si>
  <si>
    <t xml:space="preserve">        สถาบันการเงิน</t>
  </si>
  <si>
    <t xml:space="preserve">        ค่าใช้จ่ายจ่ายล่วงหน้า</t>
  </si>
  <si>
    <t xml:space="preserve">   ทุนเรือนหุ้น</t>
  </si>
  <si>
    <t xml:space="preserve">      ทุนจดทะเบียน</t>
  </si>
  <si>
    <t xml:space="preserve">         หุ้นสามัญ 800,000,000 หุ้น มูลค่าหุ้นละ 1 บาท</t>
  </si>
  <si>
    <t xml:space="preserve">      ทุนที่ออกและเรียกชำระแล้ว</t>
  </si>
  <si>
    <t xml:space="preserve">         หุ้นสามัญ 494,034,300 หุ้น หุ้นละ 1 บาท</t>
  </si>
  <si>
    <t xml:space="preserve">      ส่วนเกินมูลค่าหุ้น</t>
  </si>
  <si>
    <t xml:space="preserve">      จัดสรรแล้ว</t>
  </si>
  <si>
    <t xml:space="preserve">         สำรองตามกฎหมาย</t>
  </si>
  <si>
    <t xml:space="preserve">         สำรองทั่วไป</t>
  </si>
  <si>
    <t xml:space="preserve">      ยังไม่ได้จัดสรร</t>
  </si>
  <si>
    <t xml:space="preserve">                 รวมส่วนของผู้ถือหุ้น</t>
  </si>
  <si>
    <t>งบกระแสเงินสด</t>
  </si>
  <si>
    <t xml:space="preserve"> งบการเงินที่แสดงเงินลงทุนตามวิธีส่วนได้เสีย</t>
  </si>
  <si>
    <t>(หน่วย : บาท)</t>
  </si>
  <si>
    <t xml:space="preserve">   กำไรสะสม</t>
  </si>
  <si>
    <t xml:space="preserve">        อื่น ๆ  </t>
  </si>
  <si>
    <t xml:space="preserve">     เงินลงทุนในบริษัทร่วม</t>
  </si>
  <si>
    <t xml:space="preserve">          บันทึกโดยวิธีส่วนได้เสีย</t>
  </si>
  <si>
    <t xml:space="preserve">          บันทึกโดยวิธีราคาทุน</t>
  </si>
  <si>
    <t xml:space="preserve">     รายได้ค้างรับกิจการที่เกี่ยวข้องกัน - สุทธิ</t>
  </si>
  <si>
    <t xml:space="preserve">     กำไรก่อนภาษีเงินได้</t>
  </si>
  <si>
    <t>ค่าตอบแทนกรรมการ</t>
  </si>
  <si>
    <t>ขาดทุนจากการปริวรรตเงินตรา</t>
  </si>
  <si>
    <t>(ลงชื่อ)………………………………………………………………กรรมการตามอำนาจ</t>
  </si>
  <si>
    <t xml:space="preserve">                                                             (ลงชื่อ)………………………………………………………………กรรมการตามอำนาจ</t>
  </si>
  <si>
    <t xml:space="preserve">               หนี้สงสัยจะสูญ</t>
  </si>
  <si>
    <t xml:space="preserve">     เงินกู้ยืมระยะยาว - สุทธิ</t>
  </si>
  <si>
    <t>รายได้ค่าสาธารณูปโภครับ</t>
  </si>
  <si>
    <t>รายได้เงินปันผลรับ</t>
  </si>
  <si>
    <t>กำไรจากการจำหน่ายทรัพย์สิน</t>
  </si>
  <si>
    <t>กำไรจากการปริวรรตเงินตรา</t>
  </si>
  <si>
    <t xml:space="preserve">ดอกเบี้ยรับ </t>
  </si>
  <si>
    <t>อื่นๆ</t>
  </si>
  <si>
    <t>ค่าใช้จ่ายอื่น</t>
  </si>
  <si>
    <t>ต้นทุนทางการเงิน</t>
  </si>
  <si>
    <t>ต้นทุนค่าสาธารณูปโภค</t>
  </si>
  <si>
    <t>ค่าใช้จ่ายในการบริหาร</t>
  </si>
  <si>
    <t>หนี้สงสัยจะสูญ</t>
  </si>
  <si>
    <t>กำไรก่อนต้นทุนทางการเงิน</t>
  </si>
  <si>
    <t xml:space="preserve">               ต้นทุนทางการเงิน</t>
  </si>
  <si>
    <t>รายได้จากการขายอสังหาริมทรัพย์</t>
  </si>
  <si>
    <t>รายได้ค่าปรึกษาและบริการ</t>
  </si>
  <si>
    <t>รวมรายได้</t>
  </si>
  <si>
    <t>ส่วนแบ่งขาดทุนจากเงินลงทุนใน</t>
  </si>
  <si>
    <t xml:space="preserve">      บริษัทร่วมตามวิธีส่วนได้เสีย</t>
  </si>
  <si>
    <t>รวมค่าใช้จ่าย</t>
  </si>
  <si>
    <t>ยอดคงเหลือ ณ  1  มกราคม  2553</t>
  </si>
  <si>
    <t>(ยังไม่ได้ตรวจสอบ/สอบทานแล้ว)</t>
  </si>
  <si>
    <t>(ยังไม่ได้ตรวจสอบ / สอบทานแล้ว)</t>
  </si>
  <si>
    <t xml:space="preserve">               เงินสดรับ(จ่าย)จากการดำเนินงาน</t>
  </si>
  <si>
    <t xml:space="preserve">               จ่ายดอกเบี้ย</t>
  </si>
  <si>
    <t xml:space="preserve">               จ่ายภาษีเงินได้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</si>
  <si>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</si>
  <si>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</si>
  <si>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บริษัท  สหพัฒนาอินเตอร์โฮลดิ้ง  จำกัด  (มหาชน)</t>
  </si>
  <si>
    <t>ออกและ</t>
  </si>
  <si>
    <t>ชำระแล้ว</t>
  </si>
  <si>
    <t xml:space="preserve">ส่วนเกิน </t>
  </si>
  <si>
    <t>(ต่ำกว่า)</t>
  </si>
  <si>
    <t>(หน่วย  :   บาท)</t>
  </si>
  <si>
    <t xml:space="preserve">               เงินกู้ยืมระยะยาวเพิ่มขึ้น(ลดลง)</t>
  </si>
  <si>
    <t>2553</t>
  </si>
  <si>
    <t xml:space="preserve">               หนี้สงสัยจะสูญกลับรายการ</t>
  </si>
  <si>
    <t>หนี้สงสัยจะสูญกลับรายการ</t>
  </si>
  <si>
    <t>ค่าตอบแทนผู้บริหาร</t>
  </si>
  <si>
    <t xml:space="preserve">                รับคืนเงินให้กู้ยืมระยะสั้นแก่กิจการที่เกี่ยวข้องกัน</t>
  </si>
  <si>
    <t xml:space="preserve">               ขายยานพาหนะ และอุปกรณ์สำนักงาน</t>
  </si>
  <si>
    <t>ขาดทุนจากการด้อยค่าหลักทรัพย์</t>
  </si>
  <si>
    <t xml:space="preserve">               ขาดทุนจากการด้อยค่าหลักทรัพย์</t>
  </si>
  <si>
    <t>ณ  วันที่  31  มีนาคม  2554  (ยังไม่ได้ตรวจสอบ / สอบทานแล้ว)</t>
  </si>
  <si>
    <t>และ ณ วันที่ 31 ธันวาคม 2553 (ตรวจสอบแล้ว)</t>
  </si>
  <si>
    <t>31 มีนาคม 2554</t>
  </si>
  <si>
    <t>31 ธันวาคม 2553</t>
  </si>
  <si>
    <t>สำหรับงวด  3  เดือน  สิ้นสุดวันที่  31  มีนาคม  2554  และ  2553</t>
  </si>
  <si>
    <t>2554</t>
  </si>
  <si>
    <t>ยอดคงเหลือ ณ  1  มกราคม  2554</t>
  </si>
  <si>
    <t>ยอดคงเหลือ ณ  31 มีนาคม  2554</t>
  </si>
  <si>
    <t>กำไรจากการจำหน่ายหลักทรัพย์</t>
  </si>
  <si>
    <t>งบแสดงฐานะการเงิน</t>
  </si>
  <si>
    <t xml:space="preserve">     อสังหาริมทรัพย์เพื่อการลงทุน</t>
  </si>
  <si>
    <t xml:space="preserve">     สินทรัพย์ไม่มีตัวตน - สุทธิ</t>
  </si>
  <si>
    <t xml:space="preserve">   องค์ประกอบอื่นของส่วนของผู้ถือหุ้น</t>
  </si>
  <si>
    <t>งบกำไรขาดทุนเบ็ดเสร็จ</t>
  </si>
  <si>
    <t>กำไรสำหรับงวด</t>
  </si>
  <si>
    <t>กำไรขาดทุนเบ็ดเสร็จอื่น</t>
  </si>
  <si>
    <t>ผลกำไรจากการวัดมูลค่าเงินลงทุนเผื่อขาย</t>
  </si>
  <si>
    <t>กำไรขาดทุนเบ็ดเสร็จรวมสำหรับงวด</t>
  </si>
  <si>
    <t>ผลกระทบจากการเปลี่ยนแปลงนโยบายการบัญชี</t>
  </si>
  <si>
    <t>ยอดคงเหลือ ณ  1  มกราคม  2554 ปรับปรุงใหม่</t>
  </si>
  <si>
    <t>จัดสรรแล้ว</t>
  </si>
  <si>
    <t>สำรอง</t>
  </si>
  <si>
    <t>ตามกฎหมาย</t>
  </si>
  <si>
    <t>ยังไม่ได้</t>
  </si>
  <si>
    <t>องค์ประกอบอื่นของส่วนของผู้ถือหุ้น</t>
  </si>
  <si>
    <t>จัดสรร</t>
  </si>
  <si>
    <t>ผลกำไร</t>
  </si>
  <si>
    <t>เงินลงทุนเผื่อขาย</t>
  </si>
  <si>
    <t>จากการวัดมูลค่า</t>
  </si>
  <si>
    <t>ต้นทุนค่าบริการ</t>
  </si>
  <si>
    <t>ยอดคงเหลือ ณ  1  มกราคม  2553 ปรับปรุงใหม่</t>
  </si>
  <si>
    <t>กำไรเบ็ดเสร็จ สำหรับงวด 3 เดือน</t>
  </si>
  <si>
    <t>กำไรเบ็ดเสร็จ สำหรับงวด 9 เดือน</t>
  </si>
  <si>
    <t>เพิ่ม(ลด) ระหว่างงวด</t>
  </si>
  <si>
    <t>เงินปันผลจ่าย</t>
  </si>
  <si>
    <t xml:space="preserve">  - ผลประโยชน์พนักงาน</t>
  </si>
  <si>
    <t xml:space="preserve">  - การรับรู้รายได้จากการขายอสังหาริมทรัพย์</t>
  </si>
  <si>
    <t xml:space="preserve">          เงินรับล่วงหน้า</t>
  </si>
  <si>
    <t xml:space="preserve">     อสังหาริมทรัพย์รอการขาย</t>
  </si>
  <si>
    <t>ยอดคงเหลือ ณ  31 ธันวาคม  2553 ปรับปรุงใหม่</t>
  </si>
  <si>
    <t>ยอดคงเหลือ ณ  31 มีนาคม  2553 ปรับปรุงใหม่</t>
  </si>
  <si>
    <t>ยอดคงเหลือ ณ  31  มีนาคม  2553  ปรับปรุงใหม่</t>
  </si>
  <si>
    <t>ยอดคงเหลือ ณ  31 ธันวาคม  2553  ปรับปรุงใหม่</t>
  </si>
  <si>
    <t>ส่วนเกินทุน</t>
  </si>
  <si>
    <t>หุ้นทุนซื้อคืน</t>
  </si>
  <si>
    <t>ของบริษัทร่วม</t>
  </si>
  <si>
    <t xml:space="preserve">     เงินประกัน</t>
  </si>
  <si>
    <t xml:space="preserve">     เงินรับล่วงหน้า</t>
  </si>
  <si>
    <t>(ปรับปรุงใหม่)</t>
  </si>
  <si>
    <t>กำไรขาดทุนเบ็ดเสร็จอื่นสำหรับงวด</t>
  </si>
  <si>
    <t>งบแสดงฐานะการเงิน (ต่อ)</t>
  </si>
  <si>
    <t>งบกำไรขาดทุนเบ็ดเสร็จ (ต่อ)</t>
  </si>
  <si>
    <t xml:space="preserve">  - ผลประโยชน์พนักงาน-บริษัทร่วม</t>
  </si>
  <si>
    <t xml:space="preserve">               (กำไร) ขาดทุนจากการขายทรัพย์สิน</t>
  </si>
  <si>
    <t xml:space="preserve">               เงินประกัน</t>
  </si>
  <si>
    <t xml:space="preserve">               ขายหลักทรัพย์หุ้นทุน</t>
  </si>
  <si>
    <t xml:space="preserve">               อสังหาริมทรัพย์เพื่อการลงทุน</t>
  </si>
  <si>
    <t>ยอดคงเหลือ ณ 1 มกราคม 2554  ก่อนปรับปรุงผลประโยชน์พนักงาน</t>
  </si>
  <si>
    <t>องค์ประกอบอื่น</t>
  </si>
  <si>
    <t>ของส่วนของผู้ถือหุ้น</t>
  </si>
  <si>
    <t>ผลกำไรจากการวัดมูลค่าเงินลงทุนเผื่อขาย-บริษัทร่วม</t>
  </si>
  <si>
    <t xml:space="preserve">      ส่วนเกินทุนหุ้นทุนซื้อคืนของบริษัทร่วม</t>
  </si>
  <si>
    <t>ผลกำไรจากการ</t>
  </si>
  <si>
    <t>วัดมูลค่าเงินลงทุน</t>
  </si>
  <si>
    <t>เผื่อขายของบริษัทร่วม</t>
  </si>
  <si>
    <t xml:space="preserve">     ภาระผูกพันผลประโยชน์พนักงาน</t>
  </si>
  <si>
    <t xml:space="preserve">               สินทรัพย์ไม่มีตัวตน </t>
  </si>
  <si>
    <t xml:space="preserve">               เงินรับล่วงหน้า</t>
  </si>
  <si>
    <t xml:space="preserve">               ภาระผูกพันผลประโยชน์พนักงาน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</si>
</sst>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\(#,##0.00\)"/>
    <numFmt numFmtId="204" formatCode="0.0"/>
    <numFmt numFmtId="205" formatCode="#,##0.00\ ;\(#,##0.00\)\ "/>
    <numFmt numFmtId="206" formatCode="#,##0.00\ ;\(#,##0.00\)"/>
    <numFmt numFmtId="207" formatCode="#,##0.00_);[Blue]\(#,##0.0000\)"/>
    <numFmt numFmtId="208" formatCode="#,##0_);[Blue]\(#,##0.00\)"/>
    <numFmt numFmtId="209" formatCode="#,##0.0_);[Blue]\(#,##0.000\)"/>
    <numFmt numFmtId="210" formatCode="#,##0.00_ ;\-#,##0.00\ "/>
    <numFmt numFmtId="211" formatCode="#,##0_);[Blue]\(#,##0.0\)"/>
    <numFmt numFmtId="212" formatCode="#,##0_);[Blue]\(#,##0\)"/>
    <numFmt numFmtId="213" formatCode="#,##0.0_);[Blue]\(#,##0.0\)"/>
    <numFmt numFmtId="214" formatCode="#,##0.00_);[Blue]\(#,##0.00\)"/>
    <numFmt numFmtId="215" formatCode="#,##0.00_ ;[Red]\-#,##0.00\ "/>
    <numFmt numFmtId="216" formatCode="_-* #,##0.000_-;\-* #,##0.000_-;_-* &quot;-&quot;??_-;_-@_-"/>
    <numFmt numFmtId="217" formatCode="_-* #,##0.0000_-;\-* #,##0.0000_-;_-* &quot;-&quot;??_-;_-@_-"/>
    <numFmt numFmtId="218" formatCode="_-* #,##0.00000_-;\-* #,##0.00000_-;_-* &quot;-&quot;??_-;_-@_-"/>
    <numFmt numFmtId="219" formatCode="#,##0.0_);\(#,##0.0\)"/>
    <numFmt numFmtId="220" formatCode="#,##0.00_);[Black]\(#,##0.00\)\ "/>
    <numFmt numFmtId="221" formatCode="_-* #,##0_-;\-* #,##0_-;_-* &quot;-&quot;??_-;_-@_-"/>
    <numFmt numFmtId="222" formatCode="_(* #,##0_);_(* \(#,##0\);_(* \-??_);_(@_)"/>
    <numFmt numFmtId="223" formatCode="_(* #,##0.00_);_(* \(#,##0.00\);_(* \-??_);_(@_)"/>
    <numFmt numFmtId="224" formatCode="#,##0.0;\-#,##0.0"/>
    <numFmt numFmtId="225" formatCode="#,##0.00_);\(#,##0.00\)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sz val="16"/>
      <name val="Cordia New"/>
      <family val="2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sz val="15"/>
      <name val="Angsana New"/>
      <family val="1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 style="double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25" fillId="14" borderId="0" applyNumberFormat="0" applyBorder="0" applyAlignment="0" applyProtection="0"/>
    <xf numFmtId="0" fontId="15" fillId="15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0" fillId="0" borderId="6" applyNumberFormat="0" applyFill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6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</cellStyleXfs>
  <cellXfs count="250">
    <xf numFmtId="0" fontId="0" fillId="0" borderId="0" xfId="0" applyAlignment="1">
      <alignment/>
    </xf>
    <xf numFmtId="39" fontId="3" fillId="0" borderId="0" xfId="83" applyNumberFormat="1" applyFont="1" applyFill="1" applyAlignment="1">
      <alignment/>
      <protection/>
    </xf>
    <xf numFmtId="39" fontId="3" fillId="0" borderId="0" xfId="83" applyNumberFormat="1" applyFont="1" applyFill="1" applyAlignment="1" applyProtection="1">
      <alignment/>
      <protection/>
    </xf>
    <xf numFmtId="39" fontId="3" fillId="0" borderId="0" xfId="83" applyNumberFormat="1" applyFont="1" applyFill="1" applyBorder="1" applyAlignment="1">
      <alignment/>
      <protection/>
    </xf>
    <xf numFmtId="39" fontId="3" fillId="0" borderId="0" xfId="83" applyNumberFormat="1" applyFont="1" applyFill="1" applyBorder="1" applyAlignment="1" applyProtection="1">
      <alignment/>
      <protection/>
    </xf>
    <xf numFmtId="203" fontId="6" fillId="0" borderId="0" xfId="83" applyNumberFormat="1" applyFont="1" applyFill="1" applyAlignment="1" applyProtection="1">
      <alignment horizontal="center"/>
      <protection/>
    </xf>
    <xf numFmtId="203" fontId="5" fillId="0" borderId="0" xfId="83" applyNumberFormat="1" applyFont="1" applyFill="1" applyAlignment="1" applyProtection="1">
      <alignment horizontal="center"/>
      <protection/>
    </xf>
    <xf numFmtId="205" fontId="5" fillId="0" borderId="0" xfId="83" applyNumberFormat="1" applyFont="1" applyFill="1" applyAlignment="1" applyProtection="1">
      <alignment horizontal="center"/>
      <protection/>
    </xf>
    <xf numFmtId="203" fontId="5" fillId="0" borderId="0" xfId="83" applyNumberFormat="1" applyFont="1" applyFill="1" applyAlignment="1">
      <alignment horizontal="center"/>
      <protection/>
    </xf>
    <xf numFmtId="40" fontId="5" fillId="0" borderId="0" xfId="0" applyNumberFormat="1" applyFont="1" applyFill="1" applyAlignment="1">
      <alignment/>
    </xf>
    <xf numFmtId="203" fontId="5" fillId="0" borderId="0" xfId="0" applyNumberFormat="1" applyFont="1" applyFill="1" applyAlignment="1">
      <alignment/>
    </xf>
    <xf numFmtId="205" fontId="6" fillId="0" borderId="0" xfId="83" applyNumberFormat="1" applyFont="1" applyFill="1" applyAlignment="1" applyProtection="1">
      <alignment horizontal="center"/>
      <protection/>
    </xf>
    <xf numFmtId="203" fontId="5" fillId="0" borderId="0" xfId="83" applyNumberFormat="1" applyFont="1" applyFill="1" applyAlignment="1" applyProtection="1">
      <alignment horizontal="centerContinuous"/>
      <protection/>
    </xf>
    <xf numFmtId="205" fontId="6" fillId="0" borderId="10" xfId="83" applyNumberFormat="1" applyFont="1" applyFill="1" applyBorder="1" applyAlignment="1" applyProtection="1">
      <alignment horizontal="centerContinuous"/>
      <protection/>
    </xf>
    <xf numFmtId="203" fontId="5" fillId="0" borderId="10" xfId="83" applyNumberFormat="1" applyFont="1" applyFill="1" applyBorder="1" applyAlignment="1" applyProtection="1">
      <alignment horizontal="centerContinuous"/>
      <protection/>
    </xf>
    <xf numFmtId="205" fontId="5" fillId="0" borderId="10" xfId="83" applyNumberFormat="1" applyFont="1" applyFill="1" applyBorder="1" applyAlignment="1" applyProtection="1">
      <alignment horizontal="centerContinuous"/>
      <protection/>
    </xf>
    <xf numFmtId="203" fontId="6" fillId="0" borderId="0" xfId="83" applyNumberFormat="1" applyFont="1" applyFill="1" applyAlignment="1">
      <alignment horizontal="center"/>
      <protection/>
    </xf>
    <xf numFmtId="205" fontId="6" fillId="0" borderId="0" xfId="0" applyNumberFormat="1" applyFont="1" applyFill="1" applyBorder="1" applyAlignment="1" quotePrefix="1">
      <alignment horizontal="center"/>
    </xf>
    <xf numFmtId="203" fontId="6" fillId="0" borderId="0" xfId="0" applyNumberFormat="1" applyFont="1" applyFill="1" applyBorder="1" applyAlignment="1">
      <alignment horizontal="center"/>
    </xf>
    <xf numFmtId="203" fontId="6" fillId="0" borderId="0" xfId="83" applyNumberFormat="1" applyFont="1" applyFill="1" applyBorder="1" applyAlignment="1">
      <alignment horizontal="center"/>
      <protection/>
    </xf>
    <xf numFmtId="203" fontId="5" fillId="0" borderId="0" xfId="83" applyNumberFormat="1" applyFont="1" applyFill="1" applyAlignment="1" applyProtection="1">
      <alignment/>
      <protection/>
    </xf>
    <xf numFmtId="1" fontId="5" fillId="0" borderId="0" xfId="83" applyNumberFormat="1" applyFont="1" applyFill="1" applyAlignment="1" quotePrefix="1">
      <alignment horizontal="center"/>
      <protection/>
    </xf>
    <xf numFmtId="205" fontId="5" fillId="0" borderId="0" xfId="83" applyNumberFormat="1" applyFont="1" applyFill="1" applyBorder="1" applyAlignment="1" applyProtection="1">
      <alignment/>
      <protection/>
    </xf>
    <xf numFmtId="203" fontId="5" fillId="0" borderId="0" xfId="83" applyNumberFormat="1" applyFont="1" applyFill="1" applyBorder="1" applyAlignment="1">
      <alignment/>
      <protection/>
    </xf>
    <xf numFmtId="1" fontId="5" fillId="0" borderId="0" xfId="0" applyNumberFormat="1" applyFont="1" applyFill="1" applyAlignment="1">
      <alignment horizontal="center"/>
    </xf>
    <xf numFmtId="205" fontId="5" fillId="0" borderId="0" xfId="0" applyNumberFormat="1" applyFont="1" applyFill="1" applyAlignment="1">
      <alignment/>
    </xf>
    <xf numFmtId="205" fontId="5" fillId="0" borderId="10" xfId="83" applyNumberFormat="1" applyFont="1" applyFill="1" applyBorder="1" applyAlignment="1" applyProtection="1">
      <alignment/>
      <protection/>
    </xf>
    <xf numFmtId="205" fontId="5" fillId="0" borderId="11" xfId="83" applyNumberFormat="1" applyFont="1" applyFill="1" applyBorder="1" applyAlignment="1" applyProtection="1">
      <alignment/>
      <protection/>
    </xf>
    <xf numFmtId="203" fontId="5" fillId="0" borderId="0" xfId="83" applyNumberFormat="1" applyFont="1" applyFill="1" applyAlignment="1" applyProtection="1">
      <alignment horizontal="left"/>
      <protection/>
    </xf>
    <xf numFmtId="205" fontId="6" fillId="0" borderId="0" xfId="83" applyNumberFormat="1" applyFont="1" applyFill="1" applyBorder="1" applyAlignment="1" applyProtection="1">
      <alignment horizontal="center"/>
      <protection/>
    </xf>
    <xf numFmtId="43" fontId="5" fillId="0" borderId="0" xfId="42" applyFont="1" applyFill="1" applyBorder="1" applyAlignment="1">
      <alignment/>
    </xf>
    <xf numFmtId="203" fontId="5" fillId="0" borderId="0" xfId="83" applyNumberFormat="1" applyFont="1" applyFill="1" applyAlignment="1" quotePrefix="1">
      <alignment horizontal="center"/>
      <protection/>
    </xf>
    <xf numFmtId="203" fontId="5" fillId="0" borderId="0" xfId="83" applyNumberFormat="1" applyFont="1" applyFill="1" applyAlignment="1">
      <alignment/>
      <protection/>
    </xf>
    <xf numFmtId="205" fontId="5" fillId="0" borderId="12" xfId="83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203" fontId="5" fillId="0" borderId="0" xfId="83" applyNumberFormat="1" applyFont="1" applyFill="1" applyAlignment="1">
      <alignment horizontal="centerContinuous"/>
      <protection/>
    </xf>
    <xf numFmtId="205" fontId="5" fillId="0" borderId="0" xfId="83" applyNumberFormat="1" applyFont="1" applyFill="1" applyAlignment="1">
      <alignment horizontal="centerContinuous"/>
      <protection/>
    </xf>
    <xf numFmtId="205" fontId="5" fillId="0" borderId="0" xfId="83" applyNumberFormat="1" applyFont="1" applyFill="1" applyAlignment="1" applyProtection="1">
      <alignment horizontal="centerContinuous"/>
      <protection/>
    </xf>
    <xf numFmtId="205" fontId="6" fillId="0" borderId="0" xfId="83" applyNumberFormat="1" applyFont="1" applyFill="1" applyAlignment="1" applyProtection="1">
      <alignment horizontal="centerContinuous"/>
      <protection/>
    </xf>
    <xf numFmtId="205" fontId="5" fillId="0" borderId="0" xfId="83" applyNumberFormat="1" applyFont="1" applyFill="1" applyAlignment="1">
      <alignment/>
      <protection/>
    </xf>
    <xf numFmtId="205" fontId="5" fillId="0" borderId="10" xfId="42" applyNumberFormat="1" applyFont="1" applyFill="1" applyBorder="1" applyAlignment="1" applyProtection="1">
      <alignment/>
      <protection/>
    </xf>
    <xf numFmtId="20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03" fontId="5" fillId="0" borderId="0" xfId="42" applyNumberFormat="1" applyFont="1" applyFill="1" applyAlignment="1" quotePrefix="1">
      <alignment horizontal="center"/>
    </xf>
    <xf numFmtId="205" fontId="5" fillId="0" borderId="13" xfId="83" applyNumberFormat="1" applyFont="1" applyFill="1" applyBorder="1" applyAlignment="1">
      <alignment/>
      <protection/>
    </xf>
    <xf numFmtId="203" fontId="5" fillId="0" borderId="0" xfId="0" applyNumberFormat="1" applyFont="1" applyFill="1" applyBorder="1" applyAlignment="1">
      <alignment/>
    </xf>
    <xf numFmtId="39" fontId="5" fillId="0" borderId="0" xfId="83" applyFont="1" applyFill="1" applyAlignment="1">
      <alignment/>
      <protection/>
    </xf>
    <xf numFmtId="39" fontId="5" fillId="0" borderId="0" xfId="83" applyNumberFormat="1" applyFont="1" applyFill="1" applyAlignment="1">
      <alignment/>
      <protection/>
    </xf>
    <xf numFmtId="43" fontId="5" fillId="0" borderId="0" xfId="42" applyFont="1" applyFill="1" applyAlignment="1">
      <alignment/>
    </xf>
    <xf numFmtId="43" fontId="6" fillId="0" borderId="0" xfId="42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/>
    </xf>
    <xf numFmtId="39" fontId="4" fillId="0" borderId="14" xfId="83" applyNumberFormat="1" applyFont="1" applyFill="1" applyBorder="1" applyAlignment="1" applyProtection="1" quotePrefix="1">
      <alignment horizontal="center"/>
      <protection/>
    </xf>
    <xf numFmtId="39" fontId="4" fillId="0" borderId="14" xfId="83" applyNumberFormat="1" applyFont="1" applyFill="1" applyBorder="1" applyAlignment="1" applyProtection="1">
      <alignment horizontal="center"/>
      <protection/>
    </xf>
    <xf numFmtId="39" fontId="4" fillId="0" borderId="0" xfId="83" applyNumberFormat="1" applyFont="1" applyFill="1" applyBorder="1" applyAlignment="1">
      <alignment horizontal="center"/>
      <protection/>
    </xf>
    <xf numFmtId="37" fontId="4" fillId="0" borderId="0" xfId="83" applyNumberFormat="1" applyFont="1" applyFill="1" applyAlignment="1" applyProtection="1">
      <alignment/>
      <protection/>
    </xf>
    <xf numFmtId="39" fontId="3" fillId="0" borderId="0" xfId="83" applyNumberFormat="1" applyFont="1" applyFill="1" applyAlignment="1" applyProtection="1">
      <alignment horizontal="center"/>
      <protection/>
    </xf>
    <xf numFmtId="39" fontId="4" fillId="0" borderId="10" xfId="83" applyNumberFormat="1" applyFont="1" applyFill="1" applyBorder="1" applyAlignment="1" applyProtection="1">
      <alignment horizontal="centerContinuous"/>
      <protection/>
    </xf>
    <xf numFmtId="39" fontId="4" fillId="0" borderId="0" xfId="83" applyNumberFormat="1" applyFont="1" applyFill="1" applyAlignment="1" applyProtection="1">
      <alignment/>
      <protection/>
    </xf>
    <xf numFmtId="37" fontId="3" fillId="0" borderId="0" xfId="83" applyNumberFormat="1" applyFont="1" applyFill="1" applyAlignment="1" applyProtection="1">
      <alignment/>
      <protection/>
    </xf>
    <xf numFmtId="39" fontId="3" fillId="0" borderId="11" xfId="83" applyNumberFormat="1" applyFont="1" applyFill="1" applyBorder="1" applyAlignment="1" applyProtection="1">
      <alignment/>
      <protection/>
    </xf>
    <xf numFmtId="39" fontId="3" fillId="0" borderId="12" xfId="83" applyNumberFormat="1" applyFont="1" applyFill="1" applyBorder="1" applyAlignment="1" applyProtection="1">
      <alignment/>
      <protection/>
    </xf>
    <xf numFmtId="205" fontId="5" fillId="0" borderId="0" xfId="0" applyNumberFormat="1" applyFont="1" applyFill="1" applyBorder="1" applyAlignment="1">
      <alignment/>
    </xf>
    <xf numFmtId="205" fontId="5" fillId="0" borderId="0" xfId="83" applyNumberFormat="1" applyFont="1" applyFill="1" applyBorder="1" applyAlignment="1">
      <alignment/>
      <protection/>
    </xf>
    <xf numFmtId="203" fontId="4" fillId="0" borderId="10" xfId="83" applyNumberFormat="1" applyFont="1" applyFill="1" applyBorder="1" applyAlignment="1" applyProtection="1">
      <alignment horizontal="center"/>
      <protection/>
    </xf>
    <xf numFmtId="39" fontId="3" fillId="0" borderId="0" xfId="76" applyNumberFormat="1" applyFont="1" applyFill="1" applyAlignment="1">
      <alignment/>
      <protection/>
    </xf>
    <xf numFmtId="39" fontId="4" fillId="0" borderId="0" xfId="76" applyNumberFormat="1" applyFont="1" applyFill="1" applyAlignment="1">
      <alignment horizontal="center"/>
      <protection/>
    </xf>
    <xf numFmtId="39" fontId="4" fillId="0" borderId="10" xfId="76" applyNumberFormat="1" applyFont="1" applyFill="1" applyBorder="1" applyAlignment="1">
      <alignment/>
      <protection/>
    </xf>
    <xf numFmtId="39" fontId="3" fillId="0" borderId="0" xfId="76" applyNumberFormat="1" applyFont="1" applyFill="1" applyAlignment="1">
      <alignment horizontal="center"/>
      <protection/>
    </xf>
    <xf numFmtId="39" fontId="3" fillId="0" borderId="0" xfId="76" applyNumberFormat="1" applyFont="1" applyFill="1" applyBorder="1" applyAlignment="1">
      <alignment/>
      <protection/>
    </xf>
    <xf numFmtId="39" fontId="3" fillId="0" borderId="0" xfId="76" applyNumberFormat="1" applyFont="1" applyFill="1">
      <alignment/>
      <protection/>
    </xf>
    <xf numFmtId="39" fontId="3" fillId="0" borderId="0" xfId="83" applyNumberFormat="1" applyFont="1" applyFill="1" applyAlignment="1">
      <alignment horizontal="centerContinuous"/>
      <protection/>
    </xf>
    <xf numFmtId="39" fontId="0" fillId="0" borderId="0" xfId="76" applyNumberFormat="1" applyFont="1" applyFill="1">
      <alignment/>
      <protection/>
    </xf>
    <xf numFmtId="39" fontId="4" fillId="0" borderId="0" xfId="83" applyNumberFormat="1" applyFont="1" applyFill="1" applyAlignment="1" applyProtection="1">
      <alignment horizontal="centerContinuous"/>
      <protection/>
    </xf>
    <xf numFmtId="39" fontId="0" fillId="0" borderId="0" xfId="76" applyNumberFormat="1" applyFill="1">
      <alignment/>
      <protection/>
    </xf>
    <xf numFmtId="39" fontId="3" fillId="0" borderId="0" xfId="83" applyNumberFormat="1" applyFont="1" applyFill="1" applyAlignment="1" applyProtection="1">
      <alignment horizontal="centerContinuous"/>
      <protection/>
    </xf>
    <xf numFmtId="39" fontId="8" fillId="0" borderId="0" xfId="76" applyNumberFormat="1" applyFont="1" applyFill="1">
      <alignment/>
      <protection/>
    </xf>
    <xf numFmtId="39" fontId="5" fillId="0" borderId="0" xfId="76" applyNumberFormat="1" applyFont="1" applyFill="1" applyAlignment="1">
      <alignment horizontal="center"/>
      <protection/>
    </xf>
    <xf numFmtId="39" fontId="3" fillId="0" borderId="10" xfId="83" applyNumberFormat="1" applyFont="1" applyFill="1" applyBorder="1" applyAlignment="1" applyProtection="1">
      <alignment horizontal="center"/>
      <protection/>
    </xf>
    <xf numFmtId="39" fontId="3" fillId="0" borderId="10" xfId="83" applyNumberFormat="1" applyFont="1" applyFill="1" applyBorder="1" applyAlignment="1">
      <alignment horizontal="center"/>
      <protection/>
    </xf>
    <xf numFmtId="39" fontId="3" fillId="0" borderId="0" xfId="83" applyNumberFormat="1" applyFont="1" applyFill="1" applyBorder="1" applyAlignment="1">
      <alignment horizontal="center"/>
      <protection/>
    </xf>
    <xf numFmtId="39" fontId="3" fillId="0" borderId="0" xfId="83" applyNumberFormat="1" applyFont="1" applyFill="1" applyBorder="1" applyAlignment="1" applyProtection="1">
      <alignment horizontal="center"/>
      <protection/>
    </xf>
    <xf numFmtId="39" fontId="0" fillId="0" borderId="0" xfId="76" applyNumberFormat="1" applyFill="1" applyBorder="1">
      <alignment/>
      <protection/>
    </xf>
    <xf numFmtId="39" fontId="0" fillId="0" borderId="0" xfId="42" applyNumberFormat="1" applyFont="1" applyFill="1" applyAlignment="1">
      <alignment/>
    </xf>
    <xf numFmtId="39" fontId="3" fillId="0" borderId="12" xfId="76" applyNumberFormat="1" applyFont="1" applyFill="1" applyBorder="1" applyAlignment="1">
      <alignment/>
      <protection/>
    </xf>
    <xf numFmtId="39" fontId="5" fillId="0" borderId="0" xfId="72" applyNumberFormat="1" applyFont="1">
      <alignment/>
      <protection/>
    </xf>
    <xf numFmtId="39" fontId="5" fillId="0" borderId="0" xfId="83" applyNumberFormat="1" applyFont="1" applyAlignment="1" applyProtection="1">
      <alignment horizontal="center"/>
      <protection/>
    </xf>
    <xf numFmtId="39" fontId="5" fillId="0" borderId="0" xfId="83" applyNumberFormat="1" applyFont="1" applyAlignment="1" applyProtection="1">
      <alignment horizontal="centerContinuous"/>
      <protection/>
    </xf>
    <xf numFmtId="39" fontId="5" fillId="0" borderId="10" xfId="83" applyNumberFormat="1" applyFont="1" applyBorder="1" applyAlignment="1">
      <alignment horizontal="center"/>
      <protection/>
    </xf>
    <xf numFmtId="39" fontId="5" fillId="0" borderId="0" xfId="83" applyNumberFormat="1" applyFont="1" applyAlignment="1" applyProtection="1">
      <alignment/>
      <protection/>
    </xf>
    <xf numFmtId="39" fontId="5" fillId="0" borderId="0" xfId="83" applyNumberFormat="1" applyFont="1" applyAlignment="1">
      <alignment/>
      <protection/>
    </xf>
    <xf numFmtId="39" fontId="5" fillId="0" borderId="0" xfId="72" applyNumberFormat="1" applyFont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39" fontId="5" fillId="0" borderId="0" xfId="72" applyNumberFormat="1" applyFont="1" applyBorder="1" applyAlignment="1">
      <alignment/>
      <protection/>
    </xf>
    <xf numFmtId="37" fontId="5" fillId="0" borderId="0" xfId="83" applyNumberFormat="1" applyFont="1" applyAlignment="1">
      <alignment horizontal="center"/>
      <protection/>
    </xf>
    <xf numFmtId="39" fontId="5" fillId="0" borderId="0" xfId="83" applyNumberFormat="1" applyFont="1" applyBorder="1" applyAlignment="1" applyProtection="1">
      <alignment/>
      <protection/>
    </xf>
    <xf numFmtId="39" fontId="5" fillId="0" borderId="0" xfId="50" applyNumberFormat="1" applyFont="1" applyBorder="1" applyAlignment="1" applyProtection="1">
      <alignment/>
      <protection/>
    </xf>
    <xf numFmtId="37" fontId="5" fillId="0" borderId="0" xfId="83" applyNumberFormat="1" applyFont="1" applyAlignment="1">
      <alignment/>
      <protection/>
    </xf>
    <xf numFmtId="39" fontId="5" fillId="0" borderId="0" xfId="50" applyNumberFormat="1" applyFont="1" applyAlignment="1">
      <alignment/>
    </xf>
    <xf numFmtId="39" fontId="5" fillId="0" borderId="12" xfId="72" applyNumberFormat="1" applyFont="1" applyBorder="1" applyAlignment="1">
      <alignment/>
      <protection/>
    </xf>
    <xf numFmtId="39" fontId="5" fillId="0" borderId="0" xfId="83" applyNumberFormat="1" applyFont="1" applyAlignment="1" quotePrefix="1">
      <alignment horizontal="center"/>
      <protection/>
    </xf>
    <xf numFmtId="39" fontId="5" fillId="0" borderId="0" xfId="72" applyNumberFormat="1" applyFont="1" applyBorder="1">
      <alignment/>
      <protection/>
    </xf>
    <xf numFmtId="39" fontId="5" fillId="0" borderId="0" xfId="50" applyNumberFormat="1" applyFont="1" applyAlignment="1">
      <alignment/>
    </xf>
    <xf numFmtId="0" fontId="3" fillId="0" borderId="0" xfId="72" applyFont="1" applyFill="1">
      <alignment/>
      <protection/>
    </xf>
    <xf numFmtId="40" fontId="3" fillId="0" borderId="0" xfId="72" applyNumberFormat="1" applyFont="1" applyFill="1" applyAlignment="1">
      <alignment/>
      <protection/>
    </xf>
    <xf numFmtId="206" fontId="3" fillId="0" borderId="0" xfId="72" applyNumberFormat="1" applyFont="1" applyFill="1" applyAlignment="1">
      <alignment/>
      <protection/>
    </xf>
    <xf numFmtId="203" fontId="3" fillId="0" borderId="0" xfId="72" applyNumberFormat="1" applyFont="1" applyFill="1" applyAlignment="1">
      <alignment/>
      <protection/>
    </xf>
    <xf numFmtId="205" fontId="3" fillId="0" borderId="0" xfId="72" applyNumberFormat="1" applyFont="1" applyFill="1" applyAlignment="1">
      <alignment/>
      <protection/>
    </xf>
    <xf numFmtId="203" fontId="3" fillId="0" borderId="0" xfId="84" applyNumberFormat="1" applyFont="1" applyFill="1" applyAlignment="1" applyProtection="1">
      <alignment horizontal="centerContinuous"/>
      <protection/>
    </xf>
    <xf numFmtId="206" fontId="3" fillId="0" borderId="0" xfId="84" applyNumberFormat="1" applyFont="1" applyFill="1" applyAlignment="1" applyProtection="1">
      <alignment horizontal="centerContinuous"/>
      <protection/>
    </xf>
    <xf numFmtId="205" fontId="3" fillId="0" borderId="0" xfId="84" applyNumberFormat="1" applyFont="1" applyFill="1" applyAlignment="1" applyProtection="1">
      <alignment horizontal="centerContinuous"/>
      <protection/>
    </xf>
    <xf numFmtId="205" fontId="4" fillId="0" borderId="0" xfId="84" applyNumberFormat="1" applyFont="1" applyFill="1" applyAlignment="1" applyProtection="1">
      <alignment horizontal="centerContinuous"/>
      <protection/>
    </xf>
    <xf numFmtId="203" fontId="4" fillId="0" borderId="10" xfId="83" applyNumberFormat="1" applyFont="1" applyFill="1" applyBorder="1" applyAlignment="1" applyProtection="1">
      <alignment horizontal="right"/>
      <protection/>
    </xf>
    <xf numFmtId="40" fontId="4" fillId="0" borderId="0" xfId="72" applyNumberFormat="1" applyFont="1" applyFill="1" applyAlignment="1">
      <alignment/>
      <protection/>
    </xf>
    <xf numFmtId="203" fontId="3" fillId="0" borderId="0" xfId="84" applyNumberFormat="1" applyFont="1" applyFill="1">
      <alignment/>
      <protection/>
    </xf>
    <xf numFmtId="203" fontId="3" fillId="0" borderId="0" xfId="84" applyNumberFormat="1" applyFont="1" applyFill="1" applyAlignment="1" applyProtection="1">
      <alignment horizontal="left"/>
      <protection/>
    </xf>
    <xf numFmtId="206" fontId="3" fillId="0" borderId="0" xfId="84" applyNumberFormat="1" applyFont="1" applyFill="1" applyBorder="1">
      <alignment/>
      <protection/>
    </xf>
    <xf numFmtId="203" fontId="3" fillId="0" borderId="0" xfId="72" applyNumberFormat="1" applyFont="1" applyFill="1" applyBorder="1" applyAlignment="1">
      <alignment/>
      <protection/>
    </xf>
    <xf numFmtId="206" fontId="3" fillId="0" borderId="0" xfId="84" applyNumberFormat="1" applyFont="1" applyFill="1" applyBorder="1" applyAlignment="1">
      <alignment horizontal="center"/>
      <protection/>
    </xf>
    <xf numFmtId="206" fontId="3" fillId="0" borderId="0" xfId="84" applyNumberFormat="1" applyFont="1" applyFill="1" applyBorder="1" applyProtection="1">
      <alignment/>
      <protection/>
    </xf>
    <xf numFmtId="203" fontId="3" fillId="0" borderId="0" xfId="84" applyNumberFormat="1" applyFont="1" applyFill="1" applyBorder="1" applyProtection="1">
      <alignment/>
      <protection/>
    </xf>
    <xf numFmtId="203" fontId="3" fillId="0" borderId="0" xfId="47" applyNumberFormat="1" applyFont="1" applyFill="1" applyBorder="1" applyAlignment="1" applyProtection="1">
      <alignment/>
      <protection/>
    </xf>
    <xf numFmtId="206" fontId="3" fillId="0" borderId="10" xfId="84" applyNumberFormat="1" applyFont="1" applyFill="1" applyBorder="1" applyProtection="1">
      <alignment/>
      <protection/>
    </xf>
    <xf numFmtId="206" fontId="3" fillId="0" borderId="0" xfId="72" applyNumberFormat="1" applyFont="1" applyFill="1" applyBorder="1" applyAlignment="1">
      <alignment/>
      <protection/>
    </xf>
    <xf numFmtId="203" fontId="3" fillId="0" borderId="0" xfId="84" applyNumberFormat="1" applyFont="1" applyFill="1" applyBorder="1">
      <alignment/>
      <protection/>
    </xf>
    <xf numFmtId="206" fontId="3" fillId="0" borderId="11" xfId="84" applyNumberFormat="1" applyFont="1" applyFill="1" applyBorder="1" applyProtection="1">
      <alignment/>
      <protection/>
    </xf>
    <xf numFmtId="40" fontId="3" fillId="0" borderId="0" xfId="72" applyNumberFormat="1" applyFont="1" applyFill="1" applyBorder="1" applyAlignment="1">
      <alignment/>
      <protection/>
    </xf>
    <xf numFmtId="205" fontId="3" fillId="0" borderId="0" xfId="84" applyNumberFormat="1" applyFont="1" applyFill="1" applyBorder="1" applyProtection="1">
      <alignment/>
      <protection/>
    </xf>
    <xf numFmtId="206" fontId="3" fillId="0" borderId="0" xfId="84" applyNumberFormat="1" applyFont="1" applyFill="1" applyAlignment="1">
      <alignment horizontal="centerContinuous"/>
      <protection/>
    </xf>
    <xf numFmtId="203" fontId="3" fillId="0" borderId="0" xfId="84" applyNumberFormat="1" applyFont="1" applyFill="1" applyAlignment="1">
      <alignment horizontal="centerContinuous"/>
      <protection/>
    </xf>
    <xf numFmtId="205" fontId="3" fillId="0" borderId="0" xfId="84" applyNumberFormat="1" applyFont="1" applyFill="1" applyAlignment="1">
      <alignment horizontal="centerContinuous"/>
      <protection/>
    </xf>
    <xf numFmtId="206" fontId="3" fillId="0" borderId="0" xfId="84" applyNumberFormat="1" applyFont="1" applyFill="1">
      <alignment/>
      <protection/>
    </xf>
    <xf numFmtId="206" fontId="3" fillId="0" borderId="0" xfId="47" applyNumberFormat="1" applyFont="1" applyFill="1" applyAlignment="1">
      <alignment/>
    </xf>
    <xf numFmtId="203" fontId="3" fillId="0" borderId="0" xfId="47" applyNumberFormat="1" applyFont="1" applyFill="1" applyBorder="1" applyAlignment="1">
      <alignment/>
    </xf>
    <xf numFmtId="205" fontId="3" fillId="0" borderId="11" xfId="84" applyNumberFormat="1" applyFont="1" applyFill="1" applyBorder="1">
      <alignment/>
      <protection/>
    </xf>
    <xf numFmtId="206" fontId="3" fillId="0" borderId="11" xfId="84" applyNumberFormat="1" applyFont="1" applyFill="1" applyBorder="1">
      <alignment/>
      <protection/>
    </xf>
    <xf numFmtId="206" fontId="3" fillId="0" borderId="12" xfId="84" applyNumberFormat="1" applyFont="1" applyFill="1" applyBorder="1" applyProtection="1">
      <alignment/>
      <protection/>
    </xf>
    <xf numFmtId="203" fontId="3" fillId="0" borderId="0" xfId="83" applyNumberFormat="1" applyFont="1" applyFill="1" applyAlignment="1" applyProtection="1">
      <alignment/>
      <protection/>
    </xf>
    <xf numFmtId="0" fontId="3" fillId="0" borderId="0" xfId="72" applyFont="1" applyFill="1" applyAlignment="1">
      <alignment horizontal="centerContinuous"/>
      <protection/>
    </xf>
    <xf numFmtId="39" fontId="5" fillId="0" borderId="0" xfId="72" applyNumberFormat="1" applyFont="1" applyFill="1" applyAlignment="1">
      <alignment/>
      <protection/>
    </xf>
    <xf numFmtId="39" fontId="3" fillId="0" borderId="0" xfId="76" applyNumberFormat="1" applyFont="1" applyFill="1" applyAlignment="1">
      <alignment horizontal="centerContinuous"/>
      <protection/>
    </xf>
    <xf numFmtId="203" fontId="5" fillId="0" borderId="0" xfId="0" applyNumberFormat="1" applyFont="1" applyFill="1" applyAlignment="1">
      <alignment horizontal="centerContinuous"/>
    </xf>
    <xf numFmtId="205" fontId="5" fillId="0" borderId="0" xfId="0" applyNumberFormat="1" applyFont="1" applyFill="1" applyAlignment="1">
      <alignment horizontal="centerContinuous"/>
    </xf>
    <xf numFmtId="39" fontId="0" fillId="0" borderId="0" xfId="76" applyNumberFormat="1" applyFill="1" applyAlignment="1">
      <alignment horizontal="centerContinuous"/>
      <protection/>
    </xf>
    <xf numFmtId="39" fontId="3" fillId="0" borderId="0" xfId="83" applyNumberFormat="1" applyFont="1" applyFill="1" applyBorder="1" applyAlignment="1">
      <alignment horizontal="centerContinuous"/>
      <protection/>
    </xf>
    <xf numFmtId="39" fontId="3" fillId="0" borderId="0" xfId="76" applyNumberFormat="1" applyFont="1" applyFill="1" applyBorder="1" applyAlignment="1">
      <alignment horizontal="centerContinuous"/>
      <protection/>
    </xf>
    <xf numFmtId="39" fontId="5" fillId="0" borderId="0" xfId="0" applyNumberFormat="1" applyFont="1" applyFill="1" applyAlignment="1">
      <alignment horizontal="center"/>
    </xf>
    <xf numFmtId="39" fontId="5" fillId="0" borderId="0" xfId="83" applyNumberFormat="1" applyFont="1" applyFill="1" applyAlignment="1" applyProtection="1">
      <alignment horizontal="centerContinuous"/>
      <protection/>
    </xf>
    <xf numFmtId="39" fontId="5" fillId="0" borderId="0" xfId="83" applyNumberFormat="1" applyFont="1" applyFill="1" applyAlignment="1" applyProtection="1">
      <alignment/>
      <protection/>
    </xf>
    <xf numFmtId="39" fontId="5" fillId="0" borderId="0" xfId="0" applyNumberFormat="1" applyFont="1" applyFill="1" applyAlignment="1">
      <alignment/>
    </xf>
    <xf numFmtId="39" fontId="5" fillId="0" borderId="0" xfId="0" applyNumberFormat="1" applyFont="1" applyFill="1" applyAlignment="1">
      <alignment/>
    </xf>
    <xf numFmtId="39" fontId="5" fillId="0" borderId="0" xfId="83" applyNumberFormat="1" applyFont="1" applyBorder="1" applyAlignment="1" applyProtection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39" fontId="5" fillId="0" borderId="10" xfId="83" applyNumberFormat="1" applyFont="1" applyBorder="1" applyAlignment="1" applyProtection="1">
      <alignment horizontal="center"/>
      <protection/>
    </xf>
    <xf numFmtId="1" fontId="5" fillId="0" borderId="0" xfId="83" applyNumberFormat="1" applyFont="1" applyFill="1" applyBorder="1" applyAlignment="1" quotePrefix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1" fontId="5" fillId="0" borderId="0" xfId="83" applyNumberFormat="1" applyFont="1" applyFill="1" applyBorder="1" applyAlignment="1">
      <alignment horizontal="center"/>
      <protection/>
    </xf>
    <xf numFmtId="203" fontId="5" fillId="0" borderId="0" xfId="83" applyNumberFormat="1" applyFont="1" applyFill="1" applyBorder="1" applyAlignment="1">
      <alignment horizontal="center"/>
      <protection/>
    </xf>
    <xf numFmtId="204" fontId="5" fillId="0" borderId="0" xfId="83" applyNumberFormat="1" applyFont="1" applyFill="1" applyBorder="1" applyAlignment="1" quotePrefix="1">
      <alignment horizontal="center"/>
      <protection/>
    </xf>
    <xf numFmtId="203" fontId="5" fillId="0" borderId="0" xfId="83" applyNumberFormat="1" applyFont="1" applyFill="1" applyBorder="1" applyAlignment="1" quotePrefix="1">
      <alignment horizontal="center"/>
      <protection/>
    </xf>
    <xf numFmtId="203" fontId="3" fillId="0" borderId="0" xfId="83" applyNumberFormat="1" applyFont="1" applyFill="1" applyAlignment="1">
      <alignment/>
      <protection/>
    </xf>
    <xf numFmtId="203" fontId="5" fillId="0" borderId="0" xfId="0" applyNumberFormat="1" applyFont="1" applyFill="1" applyBorder="1" applyAlignment="1">
      <alignment horizontal="center"/>
    </xf>
    <xf numFmtId="0" fontId="3" fillId="0" borderId="0" xfId="83" applyNumberFormat="1" applyFont="1" applyFill="1" applyBorder="1" applyAlignment="1">
      <alignment/>
      <protection/>
    </xf>
    <xf numFmtId="0" fontId="3" fillId="0" borderId="0" xfId="76" applyNumberFormat="1" applyFont="1" applyFill="1" applyBorder="1" applyAlignment="1">
      <alignment/>
      <protection/>
    </xf>
    <xf numFmtId="0" fontId="3" fillId="0" borderId="0" xfId="83" applyNumberFormat="1" applyFont="1" applyFill="1" applyBorder="1" applyAlignment="1" quotePrefix="1">
      <alignment horizontal="center"/>
      <protection/>
    </xf>
    <xf numFmtId="0" fontId="3" fillId="0" borderId="0" xfId="83" applyNumberFormat="1" applyFont="1" applyFill="1" applyBorder="1" applyAlignment="1">
      <alignment horizontal="center"/>
      <protection/>
    </xf>
    <xf numFmtId="39" fontId="3" fillId="0" borderId="0" xfId="84" applyNumberFormat="1" applyFont="1" applyFill="1" applyAlignment="1" applyProtection="1">
      <alignment horizontal="left"/>
      <protection/>
    </xf>
    <xf numFmtId="39" fontId="3" fillId="0" borderId="0" xfId="84" applyNumberFormat="1" applyFont="1" applyFill="1">
      <alignment/>
      <protection/>
    </xf>
    <xf numFmtId="206" fontId="3" fillId="0" borderId="0" xfId="47" applyNumberFormat="1" applyFont="1" applyFill="1" applyBorder="1" applyAlignment="1">
      <alignment/>
    </xf>
    <xf numFmtId="206" fontId="3" fillId="0" borderId="14" xfId="84" applyNumberFormat="1" applyFont="1" applyFill="1" applyBorder="1">
      <alignment/>
      <protection/>
    </xf>
    <xf numFmtId="206" fontId="3" fillId="0" borderId="14" xfId="84" applyNumberFormat="1" applyFont="1" applyFill="1" applyBorder="1" applyProtection="1">
      <alignment/>
      <protection/>
    </xf>
    <xf numFmtId="203" fontId="6" fillId="0" borderId="0" xfId="83" applyNumberFormat="1" applyFont="1" applyFill="1" applyAlignment="1">
      <alignment horizontal="centerContinuous"/>
      <protection/>
    </xf>
    <xf numFmtId="39" fontId="4" fillId="0" borderId="0" xfId="83" applyNumberFormat="1" applyFont="1" applyFill="1" applyAlignment="1">
      <alignment horizontal="centerContinuous"/>
      <protection/>
    </xf>
    <xf numFmtId="203" fontId="4" fillId="0" borderId="0" xfId="84" applyNumberFormat="1" applyFont="1" applyFill="1" applyAlignment="1">
      <alignment horizontal="centerContinuous"/>
      <protection/>
    </xf>
    <xf numFmtId="39" fontId="4" fillId="0" borderId="0" xfId="83" applyNumberFormat="1" applyFont="1" applyFill="1" applyBorder="1" applyAlignment="1">
      <alignment horizontal="right"/>
      <protection/>
    </xf>
    <xf numFmtId="3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9" fontId="11" fillId="0" borderId="0" xfId="79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 indent="3"/>
      <protection hidden="1"/>
    </xf>
    <xf numFmtId="221" fontId="11" fillId="0" borderId="0" xfId="42" applyNumberFormat="1" applyFont="1" applyFill="1" applyBorder="1" applyAlignment="1" applyProtection="1">
      <alignment horizontal="right" vertical="center"/>
      <protection hidden="1"/>
    </xf>
    <xf numFmtId="223" fontId="11" fillId="0" borderId="0" xfId="0" applyNumberFormat="1" applyFont="1" applyFill="1" applyBorder="1" applyAlignment="1" applyProtection="1">
      <alignment horizontal="right" vertical="center"/>
      <protection hidden="1"/>
    </xf>
    <xf numFmtId="222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223" fontId="11" fillId="0" borderId="0" xfId="0" applyNumberFormat="1" applyFont="1" applyFill="1" applyAlignment="1" applyProtection="1">
      <alignment horizontal="right" vertical="center"/>
      <protection hidden="1"/>
    </xf>
    <xf numFmtId="39" fontId="11" fillId="0" borderId="0" xfId="42" applyNumberFormat="1" applyFont="1" applyFill="1" applyBorder="1" applyAlignment="1" applyProtection="1">
      <alignment horizontal="right" vertical="center"/>
      <protection hidden="1"/>
    </xf>
    <xf numFmtId="43" fontId="11" fillId="0" borderId="0" xfId="42" applyFont="1" applyFill="1" applyBorder="1" applyAlignment="1" applyProtection="1">
      <alignment horizontal="right" vertical="center"/>
      <protection hidden="1"/>
    </xf>
    <xf numFmtId="43" fontId="11" fillId="0" borderId="0" xfId="42" applyFont="1" applyFill="1" applyBorder="1" applyAlignment="1" applyProtection="1">
      <alignment horizontal="left" vertical="center"/>
      <protection hidden="1"/>
    </xf>
    <xf numFmtId="39" fontId="5" fillId="0" borderId="0" xfId="76" applyNumberFormat="1" applyFont="1" applyFill="1" applyBorder="1" applyAlignment="1">
      <alignment horizontal="center"/>
      <protection/>
    </xf>
    <xf numFmtId="39" fontId="3" fillId="0" borderId="14" xfId="83" applyNumberFormat="1" applyFont="1" applyFill="1" applyBorder="1" applyAlignment="1" applyProtection="1">
      <alignment horizontal="center"/>
      <protection/>
    </xf>
    <xf numFmtId="39" fontId="3" fillId="0" borderId="11" xfId="83" applyNumberFormat="1" applyFont="1" applyFill="1" applyBorder="1" applyAlignment="1" applyProtection="1">
      <alignment horizontal="centerContinuous"/>
      <protection/>
    </xf>
    <xf numFmtId="39" fontId="3" fillId="0" borderId="14" xfId="83" applyNumberFormat="1" applyFont="1" applyFill="1" applyBorder="1" applyAlignment="1">
      <alignment horizontal="center"/>
      <protection/>
    </xf>
    <xf numFmtId="39" fontId="3" fillId="0" borderId="0" xfId="76" applyNumberFormat="1" applyFont="1" applyFill="1" applyBorder="1" applyAlignment="1">
      <alignment horizontal="center"/>
      <protection/>
    </xf>
    <xf numFmtId="39" fontId="3" fillId="0" borderId="10" xfId="76" applyNumberFormat="1" applyFont="1" applyFill="1" applyBorder="1" applyAlignment="1">
      <alignment horizontal="center"/>
      <protection/>
    </xf>
    <xf numFmtId="39" fontId="3" fillId="0" borderId="0" xfId="42" applyNumberFormat="1" applyFont="1" applyFill="1" applyBorder="1" applyAlignment="1" applyProtection="1">
      <alignment/>
      <protection/>
    </xf>
    <xf numFmtId="39" fontId="3" fillId="0" borderId="10" xfId="83" applyNumberFormat="1" applyFont="1" applyFill="1" applyBorder="1" applyAlignment="1" applyProtection="1">
      <alignment horizontal="centerContinuous"/>
      <protection/>
    </xf>
    <xf numFmtId="39" fontId="3" fillId="0" borderId="0" xfId="83" applyNumberFormat="1" applyFont="1" applyFill="1" applyBorder="1" applyAlignment="1" applyProtection="1">
      <alignment horizontal="centerContinuous"/>
      <protection/>
    </xf>
    <xf numFmtId="39" fontId="5" fillId="0" borderId="14" xfId="83" applyNumberFormat="1" applyFont="1" applyBorder="1" applyAlignment="1" applyProtection="1">
      <alignment horizontal="center"/>
      <protection/>
    </xf>
    <xf numFmtId="39" fontId="5" fillId="0" borderId="14" xfId="83" applyNumberFormat="1" applyFont="1" applyBorder="1" applyAlignment="1">
      <alignment horizontal="center"/>
      <protection/>
    </xf>
    <xf numFmtId="39" fontId="3" fillId="0" borderId="14" xfId="76" applyNumberFormat="1" applyFont="1" applyFill="1" applyBorder="1" applyAlignment="1">
      <alignment/>
      <protection/>
    </xf>
    <xf numFmtId="39" fontId="5" fillId="0" borderId="10" xfId="72" applyNumberFormat="1" applyFont="1" applyBorder="1" applyAlignment="1">
      <alignment/>
      <protection/>
    </xf>
    <xf numFmtId="39" fontId="5" fillId="0" borderId="10" xfId="83" applyNumberFormat="1" applyFont="1" applyBorder="1" applyAlignment="1" applyProtection="1">
      <alignment/>
      <protection/>
    </xf>
    <xf numFmtId="39" fontId="5" fillId="0" borderId="10" xfId="50" applyNumberFormat="1" applyFont="1" applyBorder="1" applyAlignment="1" applyProtection="1">
      <alignment/>
      <protection/>
    </xf>
    <xf numFmtId="37" fontId="5" fillId="0" borderId="0" xfId="83" applyNumberFormat="1" applyFont="1" applyFill="1" applyAlignment="1">
      <alignment/>
      <protection/>
    </xf>
    <xf numFmtId="39" fontId="5" fillId="0" borderId="0" xfId="72" applyNumberFormat="1" applyFont="1" applyFill="1" applyBorder="1" applyAlignment="1">
      <alignment/>
      <protection/>
    </xf>
    <xf numFmtId="39" fontId="5" fillId="0" borderId="0" xfId="83" applyNumberFormat="1" applyFont="1" applyFill="1" applyBorder="1" applyAlignment="1">
      <alignment/>
      <protection/>
    </xf>
    <xf numFmtId="39" fontId="5" fillId="0" borderId="0" xfId="72" applyNumberFormat="1" applyFont="1" applyFill="1">
      <alignment/>
      <protection/>
    </xf>
    <xf numFmtId="39" fontId="5" fillId="0" borderId="0" xfId="83" applyNumberFormat="1" applyFont="1" applyFill="1" applyBorder="1" applyAlignment="1" applyProtection="1">
      <alignment/>
      <protection/>
    </xf>
    <xf numFmtId="39" fontId="5" fillId="0" borderId="0" xfId="50" applyNumberFormat="1" applyFont="1" applyFill="1" applyBorder="1" applyAlignment="1" applyProtection="1">
      <alignment/>
      <protection/>
    </xf>
    <xf numFmtId="39" fontId="5" fillId="0" borderId="10" xfId="72" applyNumberFormat="1" applyFont="1" applyFill="1" applyBorder="1" applyAlignment="1">
      <alignment/>
      <protection/>
    </xf>
    <xf numFmtId="39" fontId="5" fillId="0" borderId="10" xfId="83" applyNumberFormat="1" applyFont="1" applyFill="1" applyBorder="1" applyAlignment="1" applyProtection="1">
      <alignment/>
      <protection/>
    </xf>
    <xf numFmtId="225" fontId="3" fillId="0" borderId="0" xfId="83" applyNumberFormat="1" applyFont="1" applyFill="1" applyAlignment="1">
      <alignment/>
      <protection/>
    </xf>
    <xf numFmtId="39" fontId="5" fillId="0" borderId="10" xfId="50" applyNumberFormat="1" applyFont="1" applyFill="1" applyBorder="1" applyAlignment="1" applyProtection="1">
      <alignment/>
      <protection/>
    </xf>
    <xf numFmtId="39" fontId="5" fillId="0" borderId="0" xfId="50" applyNumberFormat="1" applyFont="1" applyFill="1" applyBorder="1" applyAlignment="1">
      <alignment/>
    </xf>
    <xf numFmtId="39" fontId="5" fillId="0" borderId="12" xfId="72" applyNumberFormat="1" applyFont="1" applyFill="1" applyBorder="1" applyAlignment="1">
      <alignment/>
      <protection/>
    </xf>
    <xf numFmtId="225" fontId="3" fillId="0" borderId="10" xfId="83" applyNumberFormat="1" applyFont="1" applyFill="1" applyBorder="1" applyAlignment="1">
      <alignment/>
      <protection/>
    </xf>
    <xf numFmtId="225" fontId="3" fillId="0" borderId="0" xfId="83" applyNumberFormat="1" applyFont="1" applyFill="1" applyBorder="1" applyAlignment="1">
      <alignment/>
      <protection/>
    </xf>
    <xf numFmtId="39" fontId="5" fillId="0" borderId="10" xfId="83" applyNumberFormat="1" applyFont="1" applyFill="1" applyBorder="1" applyAlignment="1">
      <alignment/>
      <protection/>
    </xf>
    <xf numFmtId="43" fontId="5" fillId="0" borderId="0" xfId="42" applyFont="1" applyFill="1" applyBorder="1" applyAlignment="1" applyProtection="1">
      <alignment horizontal="center"/>
      <protection/>
    </xf>
    <xf numFmtId="43" fontId="5" fillId="0" borderId="10" xfId="42" applyFont="1" applyFill="1" applyBorder="1" applyAlignment="1" applyProtection="1">
      <alignment horizontal="center"/>
      <protection/>
    </xf>
    <xf numFmtId="225" fontId="3" fillId="0" borderId="15" xfId="83" applyNumberFormat="1" applyFont="1" applyFill="1" applyBorder="1" applyAlignment="1">
      <alignment/>
      <protection/>
    </xf>
    <xf numFmtId="225" fontId="4" fillId="0" borderId="0" xfId="83" applyNumberFormat="1" applyFont="1" applyFill="1" applyAlignment="1">
      <alignment horizontal="center"/>
      <protection/>
    </xf>
    <xf numFmtId="224" fontId="5" fillId="0" borderId="0" xfId="83" applyNumberFormat="1" applyFont="1" applyFill="1" applyAlignment="1" applyProtection="1">
      <alignment horizontal="center"/>
      <protection/>
    </xf>
    <xf numFmtId="205" fontId="6" fillId="0" borderId="0" xfId="0" applyNumberFormat="1" applyFont="1" applyFill="1" applyBorder="1" applyAlignment="1">
      <alignment horizontal="center"/>
    </xf>
    <xf numFmtId="39" fontId="6" fillId="0" borderId="14" xfId="83" applyNumberFormat="1" applyFont="1" applyFill="1" applyBorder="1" applyAlignment="1" applyProtection="1" quotePrefix="1">
      <alignment horizontal="center"/>
      <protection/>
    </xf>
    <xf numFmtId="39" fontId="6" fillId="0" borderId="14" xfId="83" applyNumberFormat="1" applyFont="1" applyFill="1" applyBorder="1" applyAlignment="1" applyProtection="1">
      <alignment horizontal="center"/>
      <protection/>
    </xf>
    <xf numFmtId="39" fontId="6" fillId="0" borderId="0" xfId="83" applyNumberFormat="1" applyFont="1" applyFill="1" applyBorder="1" applyAlignment="1">
      <alignment horizontal="center"/>
      <protection/>
    </xf>
    <xf numFmtId="205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39" fontId="3" fillId="0" borderId="0" xfId="76" applyNumberFormat="1" applyFont="1" applyFill="1" applyAlignment="1" quotePrefix="1">
      <alignment horizontal="centerContinuous"/>
      <protection/>
    </xf>
    <xf numFmtId="203" fontId="3" fillId="0" borderId="0" xfId="84" applyNumberFormat="1" applyFont="1" applyFill="1" applyAlignment="1" applyProtection="1">
      <alignment horizontal="center"/>
      <protection/>
    </xf>
    <xf numFmtId="39" fontId="3" fillId="0" borderId="14" xfId="83" applyNumberFormat="1" applyFont="1" applyFill="1" applyBorder="1" applyAlignment="1" applyProtection="1">
      <alignment horizontal="centerContinuous"/>
      <protection/>
    </xf>
    <xf numFmtId="39" fontId="12" fillId="0" borderId="14" xfId="83" applyNumberFormat="1" applyFont="1" applyFill="1" applyBorder="1" applyAlignment="1" applyProtection="1">
      <alignment horizontal="centerContinuous"/>
      <protection/>
    </xf>
    <xf numFmtId="39" fontId="12" fillId="0" borderId="10" xfId="83" applyNumberFormat="1" applyFont="1" applyFill="1" applyBorder="1" applyAlignment="1" applyProtection="1">
      <alignment horizontal="centerContinuous"/>
      <protection/>
    </xf>
    <xf numFmtId="39" fontId="12" fillId="0" borderId="10" xfId="83" applyNumberFormat="1" applyFont="1" applyFill="1" applyBorder="1" applyAlignment="1" applyProtection="1">
      <alignment horizontal="center"/>
      <protection/>
    </xf>
    <xf numFmtId="39" fontId="12" fillId="0" borderId="0" xfId="83" applyNumberFormat="1" applyFont="1" applyFill="1" applyBorder="1" applyAlignment="1" applyProtection="1">
      <alignment horizontal="center"/>
      <protection/>
    </xf>
    <xf numFmtId="206" fontId="3" fillId="0" borderId="0" xfId="84" applyNumberFormat="1" applyFont="1" applyFill="1" applyAlignment="1" applyProtection="1">
      <alignment horizontal="center"/>
      <protection/>
    </xf>
    <xf numFmtId="205" fontId="3" fillId="0" borderId="0" xfId="84" applyNumberFormat="1" applyFont="1" applyFill="1" applyAlignment="1" applyProtection="1">
      <alignment horizontal="center"/>
      <protection/>
    </xf>
    <xf numFmtId="205" fontId="4" fillId="0" borderId="0" xfId="84" applyNumberFormat="1" applyFont="1" applyFill="1" applyAlignment="1" applyProtection="1">
      <alignment horizontal="center"/>
      <protection/>
    </xf>
    <xf numFmtId="39" fontId="4" fillId="0" borderId="0" xfId="83" applyNumberFormat="1" applyFont="1" applyFill="1" applyBorder="1" applyAlignment="1" applyProtection="1" quotePrefix="1">
      <alignment horizontal="center"/>
      <protection/>
    </xf>
    <xf numFmtId="39" fontId="4" fillId="0" borderId="0" xfId="83" applyNumberFormat="1" applyFont="1" applyFill="1" applyBorder="1" applyAlignment="1" applyProtection="1">
      <alignment horizontal="center"/>
      <protection/>
    </xf>
    <xf numFmtId="203" fontId="6" fillId="0" borderId="10" xfId="83" applyNumberFormat="1" applyFont="1" applyFill="1" applyBorder="1" applyAlignment="1" applyProtection="1">
      <alignment horizontal="center"/>
      <protection/>
    </xf>
    <xf numFmtId="203" fontId="6" fillId="0" borderId="10" xfId="83" applyNumberFormat="1" applyFont="1" applyFill="1" applyBorder="1" applyAlignment="1" applyProtection="1">
      <alignment horizontal="left"/>
      <protection/>
    </xf>
    <xf numFmtId="205" fontId="6" fillId="0" borderId="10" xfId="83" applyNumberFormat="1" applyFont="1" applyFill="1" applyBorder="1" applyAlignment="1" applyProtection="1">
      <alignment horizontal="center"/>
      <protection/>
    </xf>
    <xf numFmtId="203" fontId="5" fillId="0" borderId="0" xfId="83" applyNumberFormat="1" applyFont="1" applyFill="1" applyAlignment="1" quotePrefix="1">
      <alignment horizontal="center"/>
      <protection/>
    </xf>
    <xf numFmtId="39" fontId="4" fillId="0" borderId="10" xfId="83" applyNumberFormat="1" applyFont="1" applyFill="1" applyBorder="1" applyAlignment="1" applyProtection="1">
      <alignment horizontal="center"/>
      <protection/>
    </xf>
    <xf numFmtId="39" fontId="5" fillId="0" borderId="0" xfId="83" applyNumberFormat="1" applyFont="1" applyFill="1" applyAlignment="1" applyProtection="1">
      <alignment horizontal="center"/>
      <protection/>
    </xf>
    <xf numFmtId="205" fontId="4" fillId="0" borderId="10" xfId="83" applyNumberFormat="1" applyFont="1" applyFill="1" applyBorder="1" applyAlignment="1" applyProtection="1">
      <alignment horizontal="center"/>
      <protection/>
    </xf>
    <xf numFmtId="203" fontId="3" fillId="0" borderId="0" xfId="84" applyNumberFormat="1" applyFont="1" applyFill="1" applyAlignment="1" applyProtection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3" xfId="48"/>
    <cellStyle name="Comma 3 2" xfId="49"/>
    <cellStyle name="Comma 3 3" xfId="50"/>
    <cellStyle name="Comma 4" xfId="51"/>
    <cellStyle name="Comma 4 2" xfId="52"/>
    <cellStyle name="Comma 5" xfId="53"/>
    <cellStyle name="Comma 6" xfId="54"/>
    <cellStyle name="Comma 7" xfId="55"/>
    <cellStyle name="Comma 8" xfId="56"/>
    <cellStyle name="Comma 9" xfId="57"/>
    <cellStyle name="Currency" xfId="58"/>
    <cellStyle name="Currency [0]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2 2" xfId="72"/>
    <cellStyle name="Normal 2_งบแสดงส่วนเปลี่ยนแปลงQ251" xfId="73"/>
    <cellStyle name="Normal 3" xfId="74"/>
    <cellStyle name="Normal 3 2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ปกติ_Sheet1" xfId="83"/>
    <cellStyle name="ปกติ_Sheet1_SPI- DEC. 45_( สอบทาน)_SPI-Dec'48t-2-สอบทาน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="80" zoomScaleNormal="80" zoomScalePageLayoutView="0" workbookViewId="0" topLeftCell="A25">
      <selection activeCell="A128" sqref="A128"/>
    </sheetView>
  </sheetViews>
  <sheetFormatPr defaultColWidth="9.140625" defaultRowHeight="24" customHeight="1"/>
  <cols>
    <col min="1" max="1" width="41.421875" style="10" customWidth="1"/>
    <col min="2" max="2" width="9.57421875" style="10" customWidth="1"/>
    <col min="3" max="3" width="0.5625" style="10" customWidth="1"/>
    <col min="4" max="4" width="19.421875" style="25" customWidth="1"/>
    <col min="5" max="5" width="0.71875" style="10" customWidth="1"/>
    <col min="6" max="6" width="19.421875" style="25" customWidth="1"/>
    <col min="7" max="7" width="0.71875" style="10" customWidth="1"/>
    <col min="8" max="8" width="18.7109375" style="25" customWidth="1"/>
    <col min="9" max="9" width="0.71875" style="10" customWidth="1"/>
    <col min="10" max="10" width="18.7109375" style="25" customWidth="1"/>
    <col min="11" max="11" width="0.71875" style="9" customWidth="1"/>
    <col min="12" max="16384" width="9.140625" style="9" customWidth="1"/>
  </cols>
  <sheetData>
    <row r="1" spans="1:10" ht="24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.75" customHeight="1">
      <c r="A2" s="170" t="s">
        <v>174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.75" customHeight="1">
      <c r="A3" s="35" t="s">
        <v>165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4.75" customHeight="1">
      <c r="A4" s="35" t="s">
        <v>166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4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4.75" customHeight="1">
      <c r="A6" s="6"/>
      <c r="B6" s="6"/>
      <c r="C6" s="6"/>
      <c r="D6" s="7"/>
      <c r="E6" s="6"/>
      <c r="F6" s="7"/>
      <c r="H6" s="7"/>
      <c r="I6" s="6"/>
      <c r="J6" s="11" t="s">
        <v>109</v>
      </c>
    </row>
    <row r="7" spans="1:10" ht="24.75" customHeight="1">
      <c r="A7" s="12"/>
      <c r="B7" s="12"/>
      <c r="C7" s="12"/>
      <c r="D7" s="243" t="s">
        <v>108</v>
      </c>
      <c r="E7" s="243"/>
      <c r="F7" s="243"/>
      <c r="H7" s="244" t="s">
        <v>60</v>
      </c>
      <c r="I7" s="244"/>
      <c r="J7" s="244"/>
    </row>
    <row r="8" spans="1:10" ht="24.75" customHeight="1">
      <c r="A8" s="5" t="s">
        <v>1</v>
      </c>
      <c r="B8" s="16" t="s">
        <v>2</v>
      </c>
      <c r="C8" s="16"/>
      <c r="D8" s="225" t="s">
        <v>167</v>
      </c>
      <c r="E8" s="226"/>
      <c r="F8" s="225" t="s">
        <v>168</v>
      </c>
      <c r="G8" s="227"/>
      <c r="H8" s="225" t="s">
        <v>167</v>
      </c>
      <c r="I8" s="226"/>
      <c r="J8" s="225" t="s">
        <v>168</v>
      </c>
    </row>
    <row r="9" spans="1:10" ht="24.75" customHeight="1">
      <c r="A9" s="9"/>
      <c r="B9" s="16"/>
      <c r="C9" s="16"/>
      <c r="D9" s="17"/>
      <c r="E9" s="18"/>
      <c r="F9" s="224" t="s">
        <v>213</v>
      </c>
      <c r="G9" s="19"/>
      <c r="H9" s="17"/>
      <c r="I9" s="18"/>
      <c r="J9" s="224" t="s">
        <v>213</v>
      </c>
    </row>
    <row r="10" spans="1:10" ht="24.75" customHeight="1">
      <c r="A10" s="20" t="s">
        <v>3</v>
      </c>
      <c r="B10" s="16"/>
      <c r="C10" s="16"/>
      <c r="D10" s="17"/>
      <c r="E10" s="18"/>
      <c r="F10" s="224"/>
      <c r="G10" s="19"/>
      <c r="H10" s="17"/>
      <c r="I10" s="18"/>
      <c r="J10" s="224"/>
    </row>
    <row r="11" spans="1:10" ht="24.75" customHeight="1">
      <c r="A11" s="20" t="s">
        <v>62</v>
      </c>
      <c r="B11" s="153">
        <v>5</v>
      </c>
      <c r="C11" s="153"/>
      <c r="D11" s="219">
        <f>139701338.79-63660645.75-145000-500</f>
        <v>75895193.03999999</v>
      </c>
      <c r="E11" s="23"/>
      <c r="F11" s="22">
        <v>40487207.43</v>
      </c>
      <c r="G11" s="45"/>
      <c r="H11" s="219">
        <f>139701338.79-63660645.75-145000-500</f>
        <v>75895193.03999999</v>
      </c>
      <c r="I11" s="23"/>
      <c r="J11" s="22">
        <v>40487207.43</v>
      </c>
    </row>
    <row r="12" spans="1:10" ht="24.75" customHeight="1">
      <c r="A12" s="20" t="s">
        <v>115</v>
      </c>
      <c r="B12" s="154">
        <v>6</v>
      </c>
      <c r="C12" s="154"/>
      <c r="D12" s="208">
        <f>206209911.3-8231397.54+31381192.7-55780350+5925116.87-656100-2717.8+3075000.83</f>
        <v>181920656.36</v>
      </c>
      <c r="E12" s="23"/>
      <c r="F12" s="22">
        <v>155275101.32000002</v>
      </c>
      <c r="G12" s="45"/>
      <c r="H12" s="208">
        <f>206209911.3-8231397.54+31381192.7-55780350+5925116.87-656100-2717.8+3075000.83</f>
        <v>181920656.36</v>
      </c>
      <c r="I12" s="23"/>
      <c r="J12" s="22">
        <v>155275101.32000002</v>
      </c>
    </row>
    <row r="13" spans="1:10" ht="24.75" customHeight="1">
      <c r="A13" s="20" t="s">
        <v>63</v>
      </c>
      <c r="B13" s="153">
        <v>7</v>
      </c>
      <c r="C13" s="153"/>
      <c r="D13" s="208">
        <f>8231397.54+24399157.3-5925116.87-449147.22</f>
        <v>26256290.75</v>
      </c>
      <c r="E13" s="23"/>
      <c r="F13" s="22">
        <v>24401390.669999998</v>
      </c>
      <c r="G13" s="45"/>
      <c r="H13" s="208">
        <f>8231397.54+24399157.3-5925116.87-449147.22</f>
        <v>26256290.75</v>
      </c>
      <c r="I13" s="23"/>
      <c r="J13" s="22">
        <v>24401390.669999998</v>
      </c>
    </row>
    <row r="14" spans="1:10" ht="24.75" customHeight="1">
      <c r="A14" s="20" t="s">
        <v>64</v>
      </c>
      <c r="B14" s="153"/>
      <c r="C14" s="153"/>
      <c r="D14" s="208">
        <v>2436849.88</v>
      </c>
      <c r="E14" s="23"/>
      <c r="F14" s="22">
        <v>2353126.51</v>
      </c>
      <c r="G14" s="45"/>
      <c r="H14" s="208">
        <v>2436849.88</v>
      </c>
      <c r="I14" s="23"/>
      <c r="J14" s="22">
        <v>2353126.51</v>
      </c>
    </row>
    <row r="15" spans="1:10" ht="24.75" customHeight="1">
      <c r="A15" s="20" t="s">
        <v>65</v>
      </c>
      <c r="B15" s="156"/>
      <c r="C15" s="156"/>
      <c r="D15" s="61"/>
      <c r="E15" s="23"/>
      <c r="F15" s="22"/>
      <c r="G15" s="45"/>
      <c r="H15" s="61"/>
      <c r="I15" s="23"/>
      <c r="J15" s="22"/>
    </row>
    <row r="16" spans="1:10" ht="24.75" customHeight="1">
      <c r="A16" s="20" t="s">
        <v>95</v>
      </c>
      <c r="B16" s="156"/>
      <c r="C16" s="156"/>
      <c r="D16" s="208">
        <f>6036197.54-12100</f>
        <v>6024097.54</v>
      </c>
      <c r="E16" s="23"/>
      <c r="F16" s="22">
        <v>4787146.46</v>
      </c>
      <c r="G16" s="45"/>
      <c r="H16" s="208">
        <f>6036197.54-12100</f>
        <v>6024097.54</v>
      </c>
      <c r="I16" s="23"/>
      <c r="J16" s="22">
        <v>4787146.46</v>
      </c>
    </row>
    <row r="17" spans="1:10" ht="24.75" customHeight="1">
      <c r="A17" s="20" t="s">
        <v>111</v>
      </c>
      <c r="B17" s="8"/>
      <c r="C17" s="8"/>
      <c r="D17" s="220">
        <f>550000+145000-500000+500</f>
        <v>195500</v>
      </c>
      <c r="E17" s="23"/>
      <c r="F17" s="26">
        <v>193500</v>
      </c>
      <c r="H17" s="220">
        <f>550000+145000-500000+500</f>
        <v>195500</v>
      </c>
      <c r="I17" s="23"/>
      <c r="J17" s="26">
        <v>193500</v>
      </c>
    </row>
    <row r="18" spans="1:10" ht="24.75" customHeight="1">
      <c r="A18" s="20" t="s">
        <v>66</v>
      </c>
      <c r="B18" s="8"/>
      <c r="C18" s="8"/>
      <c r="D18" s="22">
        <f>SUM(D16:D17)</f>
        <v>6219597.54</v>
      </c>
      <c r="E18" s="23"/>
      <c r="F18" s="22">
        <f>SUM(F16:F17)</f>
        <v>4980646.46</v>
      </c>
      <c r="H18" s="22">
        <f>SUM(H16:H17)</f>
        <v>6219597.54</v>
      </c>
      <c r="I18" s="23"/>
      <c r="J18" s="22">
        <f>SUM(J16:J17)</f>
        <v>4980646.46</v>
      </c>
    </row>
    <row r="19" spans="1:10" ht="24.75" customHeight="1">
      <c r="A19" s="20" t="s">
        <v>67</v>
      </c>
      <c r="B19" s="8"/>
      <c r="C19" s="8"/>
      <c r="D19" s="27">
        <f>SUM(D11:D17)</f>
        <v>292728587.57</v>
      </c>
      <c r="E19" s="23"/>
      <c r="F19" s="27">
        <f>SUM(F11:F17)</f>
        <v>227497472.39000002</v>
      </c>
      <c r="H19" s="27">
        <f>SUM(H11:H17)</f>
        <v>292728587.57</v>
      </c>
      <c r="I19" s="23"/>
      <c r="J19" s="27">
        <f>SUM(J11:J17)</f>
        <v>227497472.39000002</v>
      </c>
    </row>
    <row r="20" spans="1:10" ht="24.75" customHeight="1">
      <c r="A20" s="28" t="s">
        <v>4</v>
      </c>
      <c r="B20" s="16"/>
      <c r="C20" s="16"/>
      <c r="D20" s="29"/>
      <c r="E20" s="19"/>
      <c r="F20" s="29"/>
      <c r="H20" s="29"/>
      <c r="I20" s="19"/>
      <c r="J20" s="29"/>
    </row>
    <row r="21" spans="1:10" ht="24.75" customHeight="1">
      <c r="A21" s="20" t="s">
        <v>112</v>
      </c>
      <c r="B21" s="9"/>
      <c r="C21" s="9"/>
      <c r="D21" s="9"/>
      <c r="E21" s="9"/>
      <c r="F21" s="9"/>
      <c r="H21" s="9"/>
      <c r="I21" s="9"/>
      <c r="J21" s="9"/>
    </row>
    <row r="22" spans="1:10" ht="24.75" customHeight="1">
      <c r="A22" s="20" t="s">
        <v>113</v>
      </c>
      <c r="B22" s="153">
        <v>8</v>
      </c>
      <c r="C22" s="153"/>
      <c r="D22" s="22">
        <f>9512471611.32-147648457.06-21014083.64</f>
        <v>9343809070.62</v>
      </c>
      <c r="E22" s="23"/>
      <c r="F22" s="22">
        <v>9512471611.32</v>
      </c>
      <c r="G22" s="45"/>
      <c r="H22" s="22">
        <v>0</v>
      </c>
      <c r="I22" s="30"/>
      <c r="J22" s="22">
        <v>0</v>
      </c>
    </row>
    <row r="23" spans="1:10" ht="24.75" customHeight="1">
      <c r="A23" s="20" t="s">
        <v>114</v>
      </c>
      <c r="B23" s="153">
        <v>8</v>
      </c>
      <c r="C23" s="153"/>
      <c r="D23" s="22">
        <v>0</v>
      </c>
      <c r="E23" s="30"/>
      <c r="F23" s="22">
        <v>0</v>
      </c>
      <c r="G23" s="45"/>
      <c r="H23" s="22">
        <v>1472503256.2099998</v>
      </c>
      <c r="I23" s="23"/>
      <c r="J23" s="22">
        <v>1472503256.21</v>
      </c>
    </row>
    <row r="24" spans="1:10" ht="24.75" customHeight="1">
      <c r="A24" s="20" t="s">
        <v>68</v>
      </c>
      <c r="B24" s="153">
        <v>9</v>
      </c>
      <c r="C24" s="153"/>
      <c r="D24" s="22">
        <v>2899456575.21</v>
      </c>
      <c r="E24" s="23"/>
      <c r="F24" s="22">
        <v>2793470466.07</v>
      </c>
      <c r="G24" s="45"/>
      <c r="H24" s="22">
        <v>2899456575.21</v>
      </c>
      <c r="I24" s="23"/>
      <c r="J24" s="22">
        <v>2793470466.07</v>
      </c>
    </row>
    <row r="25" spans="1:10" ht="24.75" customHeight="1">
      <c r="A25" s="20" t="s">
        <v>69</v>
      </c>
      <c r="B25" s="153">
        <v>10</v>
      </c>
      <c r="C25" s="153"/>
      <c r="D25" s="22">
        <v>97128303.91</v>
      </c>
      <c r="E25" s="23"/>
      <c r="F25" s="22">
        <v>97983212.41</v>
      </c>
      <c r="G25" s="45"/>
      <c r="H25" s="22">
        <v>97128303.91</v>
      </c>
      <c r="I25" s="23"/>
      <c r="J25" s="22">
        <v>97983212.41</v>
      </c>
    </row>
    <row r="26" spans="1:10" ht="24.75" customHeight="1">
      <c r="A26" s="20" t="s">
        <v>70</v>
      </c>
      <c r="B26" s="153"/>
      <c r="C26" s="155"/>
      <c r="D26" s="22">
        <f>26586014.91+13389614.68+1198853.5</f>
        <v>41174483.09</v>
      </c>
      <c r="E26" s="23"/>
      <c r="F26" s="22">
        <f>23635129.21+13389614.68</f>
        <v>37024743.89</v>
      </c>
      <c r="G26" s="45"/>
      <c r="H26" s="22">
        <f>26586014.91+13389614.68+1198853.5</f>
        <v>41174483.09</v>
      </c>
      <c r="I26" s="23"/>
      <c r="J26" s="22">
        <f>23635129.21+13389614.68</f>
        <v>37024743.89</v>
      </c>
    </row>
    <row r="27" spans="1:10" ht="24.75" customHeight="1">
      <c r="A27" s="20" t="s">
        <v>203</v>
      </c>
      <c r="B27" s="153">
        <v>13</v>
      </c>
      <c r="C27" s="153"/>
      <c r="D27" s="22">
        <f>733797429.52-4194172.78</f>
        <v>729603256.74</v>
      </c>
      <c r="E27" s="23"/>
      <c r="F27" s="22">
        <f>670651633.97-4194172.78</f>
        <v>666457461.19</v>
      </c>
      <c r="G27" s="45"/>
      <c r="H27" s="22">
        <f>733797429.52-4194172.78</f>
        <v>729603256.74</v>
      </c>
      <c r="I27" s="23"/>
      <c r="J27" s="22">
        <f>670651633.97-4194172.78</f>
        <v>666457461.19</v>
      </c>
    </row>
    <row r="28" spans="1:10" ht="24.75" customHeight="1">
      <c r="A28" s="20" t="s">
        <v>175</v>
      </c>
      <c r="B28" s="153">
        <v>12</v>
      </c>
      <c r="C28" s="153"/>
      <c r="D28" s="22">
        <f>1022664107.29+4194172.78</f>
        <v>1026858280.0699999</v>
      </c>
      <c r="E28" s="23"/>
      <c r="F28" s="22">
        <f>1010322943.44+4194172.78</f>
        <v>1014517116.22</v>
      </c>
      <c r="G28" s="45"/>
      <c r="H28" s="22">
        <f>1022664107.29+4194172.78</f>
        <v>1026858280.0699999</v>
      </c>
      <c r="I28" s="23"/>
      <c r="J28" s="22">
        <f>1010322943.44+4194172.78</f>
        <v>1014517116.22</v>
      </c>
    </row>
    <row r="29" spans="1:10" ht="24.75" customHeight="1">
      <c r="A29" s="20" t="s">
        <v>71</v>
      </c>
      <c r="B29" s="153">
        <v>11</v>
      </c>
      <c r="C29" s="153"/>
      <c r="D29" s="22">
        <v>597963445.17</v>
      </c>
      <c r="E29" s="23"/>
      <c r="F29" s="22">
        <v>584828102.28</v>
      </c>
      <c r="G29" s="45"/>
      <c r="H29" s="22">
        <v>597963445.17</v>
      </c>
      <c r="I29" s="23"/>
      <c r="J29" s="22">
        <v>584828102.28</v>
      </c>
    </row>
    <row r="30" spans="1:10" ht="24.75" customHeight="1">
      <c r="A30" s="20" t="s">
        <v>176</v>
      </c>
      <c r="B30" s="153">
        <v>14</v>
      </c>
      <c r="C30" s="153"/>
      <c r="D30" s="22">
        <f>2546992.01-55428.11-7945.33-1</f>
        <v>2483617.57</v>
      </c>
      <c r="E30" s="23"/>
      <c r="F30" s="22">
        <v>1589183.59</v>
      </c>
      <c r="G30" s="45"/>
      <c r="H30" s="22">
        <f>2546992.01-55428.11-7945.33-1</f>
        <v>2483617.57</v>
      </c>
      <c r="I30" s="23"/>
      <c r="J30" s="22">
        <v>1589183.59</v>
      </c>
    </row>
    <row r="31" spans="1:10" ht="24.75" customHeight="1">
      <c r="A31" s="20" t="s">
        <v>72</v>
      </c>
      <c r="B31" s="153"/>
      <c r="C31" s="153"/>
      <c r="D31" s="22"/>
      <c r="E31" s="23"/>
      <c r="F31" s="22"/>
      <c r="G31" s="45"/>
      <c r="H31" s="22"/>
      <c r="I31" s="23"/>
      <c r="J31" s="22"/>
    </row>
    <row r="32" spans="1:10" ht="24.75" customHeight="1">
      <c r="A32" s="20" t="s">
        <v>73</v>
      </c>
      <c r="B32" s="153"/>
      <c r="C32" s="153"/>
      <c r="D32" s="22">
        <v>42527100</v>
      </c>
      <c r="E32" s="23"/>
      <c r="F32" s="22">
        <v>42527100</v>
      </c>
      <c r="G32" s="45"/>
      <c r="H32" s="22">
        <v>42527100</v>
      </c>
      <c r="I32" s="23"/>
      <c r="J32" s="22">
        <v>42527100</v>
      </c>
    </row>
    <row r="33" spans="1:10" ht="24.75" customHeight="1">
      <c r="A33" s="20" t="s">
        <v>74</v>
      </c>
      <c r="B33" s="153"/>
      <c r="C33" s="153"/>
      <c r="D33" s="22">
        <v>28882023.66</v>
      </c>
      <c r="E33" s="23"/>
      <c r="F33" s="22">
        <v>25818938.71</v>
      </c>
      <c r="G33" s="45"/>
      <c r="H33" s="22">
        <v>28882023.66</v>
      </c>
      <c r="I33" s="23"/>
      <c r="J33" s="22">
        <v>25818938.71</v>
      </c>
    </row>
    <row r="34" spans="1:10" ht="24.75" customHeight="1">
      <c r="A34" s="20" t="s">
        <v>75</v>
      </c>
      <c r="B34" s="21"/>
      <c r="C34" s="21"/>
      <c r="D34" s="26">
        <v>2981353.41</v>
      </c>
      <c r="E34" s="23"/>
      <c r="F34" s="26">
        <v>3789406.92</v>
      </c>
      <c r="H34" s="26">
        <v>2981353.41</v>
      </c>
      <c r="I34" s="23"/>
      <c r="J34" s="26">
        <v>3789406.92</v>
      </c>
    </row>
    <row r="35" spans="1:10" ht="24.75" customHeight="1">
      <c r="A35" s="20" t="s">
        <v>76</v>
      </c>
      <c r="B35" s="31"/>
      <c r="C35" s="31"/>
      <c r="D35" s="27">
        <f>SUM(D32:D34)</f>
        <v>74390477.07</v>
      </c>
      <c r="E35" s="23"/>
      <c r="F35" s="27">
        <f>SUM(F32:F34)</f>
        <v>72135445.63000001</v>
      </c>
      <c r="H35" s="27">
        <f>SUM(H32:H34)</f>
        <v>74390477.07</v>
      </c>
      <c r="I35" s="23"/>
      <c r="J35" s="27">
        <f>SUM(J32:J34)</f>
        <v>72135445.63000001</v>
      </c>
    </row>
    <row r="36" spans="1:10" ht="24.75" customHeight="1">
      <c r="A36" s="20" t="s">
        <v>77</v>
      </c>
      <c r="B36" s="32"/>
      <c r="C36" s="32"/>
      <c r="D36" s="22">
        <f>+D35+D29+D26+D28+D25+D24+D23+D22+D30+D27</f>
        <v>14812867509.45</v>
      </c>
      <c r="E36" s="23"/>
      <c r="F36" s="22">
        <f>+F35+F29+F26+F28+F25+F24+F23+F22+F30+F27</f>
        <v>14780477342.6</v>
      </c>
      <c r="H36" s="22">
        <f>+H35+H29+H26+H28+H25+H24+H23+H22+H30+H27</f>
        <v>6941561695.04</v>
      </c>
      <c r="I36" s="23"/>
      <c r="J36" s="22">
        <f>+J35+J29+J26+J28+J25+J24+J23+J22+J30+J27</f>
        <v>6740508987.49</v>
      </c>
    </row>
    <row r="37" spans="1:10" ht="24.75" customHeight="1" thickBot="1">
      <c r="A37" s="20" t="s">
        <v>78</v>
      </c>
      <c r="B37" s="32"/>
      <c r="C37" s="32"/>
      <c r="D37" s="33">
        <f>+D19+D36</f>
        <v>15105596097.02</v>
      </c>
      <c r="E37" s="23"/>
      <c r="F37" s="33">
        <f>+F19+F36</f>
        <v>15007974814.99</v>
      </c>
      <c r="H37" s="33">
        <f>+H19+H36</f>
        <v>7234290282.61</v>
      </c>
      <c r="I37" s="23"/>
      <c r="J37" s="33">
        <f>+J19+J36</f>
        <v>6968006459.88</v>
      </c>
    </row>
    <row r="38" spans="1:10" ht="24.75" customHeight="1" thickTop="1">
      <c r="A38" s="20"/>
      <c r="B38" s="32"/>
      <c r="C38" s="32"/>
      <c r="D38" s="22"/>
      <c r="E38" s="23"/>
      <c r="F38" s="22"/>
      <c r="H38" s="22"/>
      <c r="I38" s="23"/>
      <c r="J38" s="22"/>
    </row>
    <row r="39" spans="1:10" ht="24.75" customHeight="1">
      <c r="A39" s="20"/>
      <c r="B39" s="31"/>
      <c r="C39" s="31"/>
      <c r="D39" s="22"/>
      <c r="E39" s="23"/>
      <c r="F39" s="22"/>
      <c r="H39" s="22"/>
      <c r="I39" s="23"/>
      <c r="J39" s="22"/>
    </row>
    <row r="40" spans="1:10" s="34" customFormat="1" ht="24.75" customHeight="1">
      <c r="A40" s="20" t="s">
        <v>5</v>
      </c>
      <c r="D40" s="48"/>
      <c r="E40" s="46"/>
      <c r="F40" s="46"/>
      <c r="G40" s="46"/>
      <c r="H40" s="46"/>
      <c r="I40" s="46"/>
      <c r="J40" s="47"/>
    </row>
    <row r="41" spans="3:26" s="34" customFormat="1" ht="24.75" customHeight="1">
      <c r="C41" s="46"/>
      <c r="D41" s="46"/>
      <c r="E41" s="46"/>
      <c r="F41" s="46"/>
      <c r="G41" s="46"/>
      <c r="H41" s="46"/>
      <c r="I41" s="47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10" s="34" customFormat="1" ht="24.75" customHeight="1">
      <c r="A42" s="20"/>
      <c r="B42" s="46"/>
      <c r="C42" s="46"/>
      <c r="F42" s="46"/>
      <c r="G42" s="46"/>
      <c r="H42" s="46"/>
      <c r="I42" s="46"/>
      <c r="J42" s="47"/>
    </row>
    <row r="43" s="42" customFormat="1" ht="24.75" customHeight="1">
      <c r="A43" s="42" t="s">
        <v>120</v>
      </c>
    </row>
    <row r="44" spans="1:10" s="34" customFormat="1" ht="24.75" customHeight="1">
      <c r="A44" s="245" t="s">
        <v>6</v>
      </c>
      <c r="B44" s="245"/>
      <c r="C44" s="245"/>
      <c r="D44" s="245"/>
      <c r="E44" s="245"/>
      <c r="F44" s="245"/>
      <c r="G44" s="245"/>
      <c r="H44" s="245"/>
      <c r="I44" s="245"/>
      <c r="J44" s="245"/>
    </row>
    <row r="45" spans="1:10" ht="24.75" customHeight="1">
      <c r="A45" s="35" t="s">
        <v>0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24.75" customHeight="1">
      <c r="A46" s="170" t="s">
        <v>215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24.75" customHeight="1">
      <c r="A47" s="35" t="s">
        <v>165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24.75" customHeight="1">
      <c r="A48" s="35" t="s">
        <v>166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24.75" customHeight="1">
      <c r="A49" s="35"/>
      <c r="B49" s="35"/>
      <c r="C49" s="35"/>
      <c r="D49" s="36"/>
      <c r="E49" s="35"/>
      <c r="F49" s="36"/>
      <c r="H49" s="36"/>
      <c r="I49" s="35"/>
      <c r="J49" s="36"/>
    </row>
    <row r="50" spans="1:10" ht="24.75" customHeight="1">
      <c r="A50" s="12"/>
      <c r="B50" s="12"/>
      <c r="C50" s="12"/>
      <c r="D50" s="37"/>
      <c r="E50" s="12"/>
      <c r="F50" s="37"/>
      <c r="H50" s="37"/>
      <c r="I50" s="12"/>
      <c r="J50" s="38" t="s">
        <v>109</v>
      </c>
    </row>
    <row r="51" spans="1:10" ht="24.75" customHeight="1">
      <c r="A51" s="12"/>
      <c r="B51" s="12"/>
      <c r="C51" s="12"/>
      <c r="D51" s="242" t="s">
        <v>61</v>
      </c>
      <c r="E51" s="242"/>
      <c r="F51" s="242"/>
      <c r="H51" s="13" t="s">
        <v>60</v>
      </c>
      <c r="I51" s="14"/>
      <c r="J51" s="15"/>
    </row>
    <row r="52" spans="1:10" ht="24.75" customHeight="1">
      <c r="A52" s="5" t="s">
        <v>7</v>
      </c>
      <c r="B52" s="16" t="s">
        <v>2</v>
      </c>
      <c r="C52" s="16"/>
      <c r="D52" s="225" t="s">
        <v>167</v>
      </c>
      <c r="E52" s="226"/>
      <c r="F52" s="225" t="s">
        <v>168</v>
      </c>
      <c r="G52" s="227"/>
      <c r="H52" s="225" t="s">
        <v>167</v>
      </c>
      <c r="I52" s="226"/>
      <c r="J52" s="225" t="s">
        <v>168</v>
      </c>
    </row>
    <row r="53" spans="1:10" ht="24.75" customHeight="1">
      <c r="A53" s="9"/>
      <c r="B53" s="8"/>
      <c r="C53" s="8"/>
      <c r="D53" s="39"/>
      <c r="E53" s="32"/>
      <c r="F53" s="224" t="s">
        <v>213</v>
      </c>
      <c r="G53" s="19"/>
      <c r="H53" s="17"/>
      <c r="I53" s="18"/>
      <c r="J53" s="224" t="s">
        <v>213</v>
      </c>
    </row>
    <row r="54" spans="1:10" ht="24.75" customHeight="1">
      <c r="A54" s="20" t="s">
        <v>8</v>
      </c>
      <c r="B54" s="8"/>
      <c r="C54" s="8"/>
      <c r="D54" s="39"/>
      <c r="E54" s="32"/>
      <c r="F54" s="224"/>
      <c r="G54" s="19"/>
      <c r="H54" s="17"/>
      <c r="I54" s="18"/>
      <c r="J54" s="224"/>
    </row>
    <row r="55" spans="1:10" ht="24.75" customHeight="1">
      <c r="A55" s="20" t="s">
        <v>91</v>
      </c>
      <c r="B55" s="8"/>
      <c r="C55" s="8"/>
      <c r="D55" s="39"/>
      <c r="E55" s="32"/>
      <c r="F55" s="39"/>
      <c r="G55" s="32"/>
      <c r="H55" s="39"/>
      <c r="I55" s="32"/>
      <c r="J55" s="39"/>
    </row>
    <row r="56" spans="1:10" ht="24.75" customHeight="1">
      <c r="A56" s="9" t="s">
        <v>94</v>
      </c>
      <c r="B56" s="153">
        <v>15</v>
      </c>
      <c r="C56" s="153"/>
      <c r="D56" s="22">
        <v>825166784.39</v>
      </c>
      <c r="E56" s="23"/>
      <c r="F56" s="22">
        <v>692665599.91</v>
      </c>
      <c r="G56" s="23"/>
      <c r="H56" s="22">
        <v>825166784.39</v>
      </c>
      <c r="I56" s="23"/>
      <c r="J56" s="22">
        <v>692665599.91</v>
      </c>
    </row>
    <row r="57" spans="1:10" ht="24.75" customHeight="1">
      <c r="A57" s="20" t="s">
        <v>92</v>
      </c>
      <c r="B57" s="153"/>
      <c r="C57" s="153"/>
      <c r="D57" s="61"/>
      <c r="E57" s="23"/>
      <c r="F57" s="61"/>
      <c r="G57" s="23"/>
      <c r="I57" s="23"/>
      <c r="J57" s="61"/>
    </row>
    <row r="58" spans="1:10" ht="24.75" customHeight="1">
      <c r="A58" s="9" t="s">
        <v>93</v>
      </c>
      <c r="B58" s="155">
        <v>16</v>
      </c>
      <c r="C58" s="155"/>
      <c r="D58" s="22">
        <v>120000000</v>
      </c>
      <c r="E58" s="23"/>
      <c r="F58" s="22">
        <v>120000000</v>
      </c>
      <c r="G58" s="23"/>
      <c r="H58" s="61">
        <v>120000000</v>
      </c>
      <c r="I58" s="23"/>
      <c r="J58" s="22">
        <v>120000000</v>
      </c>
    </row>
    <row r="59" spans="1:10" ht="24.75" customHeight="1">
      <c r="A59" s="20" t="s">
        <v>79</v>
      </c>
      <c r="B59" s="157"/>
      <c r="C59" s="157"/>
      <c r="D59" s="22">
        <v>40000</v>
      </c>
      <c r="E59" s="23"/>
      <c r="F59" s="22">
        <v>40000</v>
      </c>
      <c r="G59" s="23"/>
      <c r="H59" s="22">
        <v>40000</v>
      </c>
      <c r="I59" s="23"/>
      <c r="J59" s="22">
        <v>40000</v>
      </c>
    </row>
    <row r="60" spans="1:10" ht="24.75" customHeight="1">
      <c r="A60" s="20" t="s">
        <v>80</v>
      </c>
      <c r="B60" s="153"/>
      <c r="C60" s="153"/>
      <c r="D60" s="61"/>
      <c r="E60" s="23"/>
      <c r="F60" s="61"/>
      <c r="G60" s="23"/>
      <c r="H60" s="61"/>
      <c r="I60" s="23"/>
      <c r="J60" s="61"/>
    </row>
    <row r="61" spans="1:10" ht="24.75" customHeight="1">
      <c r="A61" s="20" t="s">
        <v>202</v>
      </c>
      <c r="B61" s="153"/>
      <c r="C61" s="153"/>
      <c r="D61" s="61">
        <v>30184800</v>
      </c>
      <c r="E61" s="23"/>
      <c r="F61" s="61">
        <f>78285850-75228250</f>
        <v>3057600</v>
      </c>
      <c r="G61" s="23"/>
      <c r="H61" s="61">
        <v>30184800</v>
      </c>
      <c r="I61" s="23"/>
      <c r="J61" s="61">
        <f>78285850-75228250</f>
        <v>3057600</v>
      </c>
    </row>
    <row r="62" spans="1:10" ht="24.75" customHeight="1">
      <c r="A62" s="20" t="s">
        <v>81</v>
      </c>
      <c r="B62" s="156" t="s">
        <v>9</v>
      </c>
      <c r="C62" s="156"/>
      <c r="D62" s="22">
        <v>2095008.51</v>
      </c>
      <c r="E62" s="23"/>
      <c r="F62" s="22">
        <v>2887545.45</v>
      </c>
      <c r="G62" s="23"/>
      <c r="H62" s="22">
        <v>2095008.51</v>
      </c>
      <c r="I62" s="23"/>
      <c r="J62" s="22">
        <v>2887545.45</v>
      </c>
    </row>
    <row r="63" spans="1:10" ht="24.75" customHeight="1">
      <c r="A63" s="20" t="s">
        <v>82</v>
      </c>
      <c r="B63" s="156"/>
      <c r="C63" s="156"/>
      <c r="D63" s="22">
        <v>119895851.77</v>
      </c>
      <c r="E63" s="23"/>
      <c r="F63" s="22">
        <v>110758570</v>
      </c>
      <c r="G63" s="23"/>
      <c r="H63" s="22">
        <v>119895851.77</v>
      </c>
      <c r="I63" s="23"/>
      <c r="J63" s="22">
        <v>110758570</v>
      </c>
    </row>
    <row r="64" spans="1:10" ht="24.75" customHeight="1">
      <c r="A64" s="20" t="s">
        <v>83</v>
      </c>
      <c r="B64" s="158"/>
      <c r="C64" s="158"/>
      <c r="D64" s="22">
        <f>117156036.32-73197384+4544732.14-4544732.14</f>
        <v>43958652.31999999</v>
      </c>
      <c r="E64" s="23"/>
      <c r="F64" s="22">
        <f>77237169.77-7310152.14+7310152.14-7310152.14</f>
        <v>69927017.63</v>
      </c>
      <c r="G64" s="23"/>
      <c r="H64" s="22">
        <f>117156036.32-73197384+4544732.14-4544732.14</f>
        <v>43958652.31999999</v>
      </c>
      <c r="I64" s="23"/>
      <c r="J64" s="22">
        <f>77237169.77-7310152.14+7310152.14-7310152.14</f>
        <v>69927017.63</v>
      </c>
    </row>
    <row r="65" spans="1:10" ht="24.75" customHeight="1">
      <c r="A65" s="20" t="s">
        <v>84</v>
      </c>
      <c r="B65" s="8"/>
      <c r="C65" s="8"/>
      <c r="D65" s="22">
        <v>10822422.18</v>
      </c>
      <c r="E65" s="23"/>
      <c r="F65" s="22">
        <v>12198425.07</v>
      </c>
      <c r="G65" s="23"/>
      <c r="H65" s="22">
        <v>10822422.18</v>
      </c>
      <c r="I65" s="23"/>
      <c r="J65" s="22">
        <v>12198425.07</v>
      </c>
    </row>
    <row r="66" spans="1:10" ht="24.75" customHeight="1">
      <c r="A66" s="20" t="s">
        <v>87</v>
      </c>
      <c r="B66" s="8"/>
      <c r="C66" s="8"/>
      <c r="D66" s="27">
        <f>SUM(D61:D65)</f>
        <v>206956734.78</v>
      </c>
      <c r="E66" s="23"/>
      <c r="F66" s="27">
        <f>SUM(F61:F65)</f>
        <v>198829158.14999998</v>
      </c>
      <c r="G66" s="23"/>
      <c r="H66" s="27">
        <f>SUM(H61:H65)</f>
        <v>206956734.78</v>
      </c>
      <c r="I66" s="23"/>
      <c r="J66" s="27">
        <f>SUM(J61:J65)</f>
        <v>198829158.14999998</v>
      </c>
    </row>
    <row r="67" spans="1:10" ht="24.75" customHeight="1">
      <c r="A67" s="20" t="s">
        <v>88</v>
      </c>
      <c r="B67" s="8"/>
      <c r="C67" s="8"/>
      <c r="D67" s="40">
        <f>+D56+D58+D59+D66</f>
        <v>1152163519.17</v>
      </c>
      <c r="E67" s="23"/>
      <c r="F67" s="40">
        <f>+F56+F58+F59+F66</f>
        <v>1011534758.06</v>
      </c>
      <c r="G67" s="23"/>
      <c r="H67" s="40">
        <f>+H56+H58+H59+H66</f>
        <v>1152163519.17</v>
      </c>
      <c r="I67" s="23"/>
      <c r="J67" s="40">
        <f>+J56+J58+J59+J66</f>
        <v>1011534758.06</v>
      </c>
    </row>
    <row r="68" spans="1:10" ht="24.75" customHeight="1">
      <c r="A68" s="20" t="s">
        <v>10</v>
      </c>
      <c r="B68" s="16"/>
      <c r="C68" s="16"/>
      <c r="D68" s="49"/>
      <c r="E68" s="50"/>
      <c r="F68" s="49"/>
      <c r="G68" s="50"/>
      <c r="H68" s="49"/>
      <c r="I68" s="50"/>
      <c r="J68" s="49"/>
    </row>
    <row r="69" spans="1:10" ht="24.75" customHeight="1">
      <c r="A69" s="20" t="s">
        <v>85</v>
      </c>
      <c r="B69" s="160"/>
      <c r="C69" s="160"/>
      <c r="D69" s="22">
        <v>15599700</v>
      </c>
      <c r="E69" s="23"/>
      <c r="F69" s="22">
        <v>15599700</v>
      </c>
      <c r="G69" s="23"/>
      <c r="H69" s="22">
        <v>15599700</v>
      </c>
      <c r="I69" s="23"/>
      <c r="J69" s="22">
        <v>15599700</v>
      </c>
    </row>
    <row r="70" spans="1:10" ht="24.75" customHeight="1">
      <c r="A70" s="20" t="s">
        <v>212</v>
      </c>
      <c r="B70" s="160"/>
      <c r="C70" s="160"/>
      <c r="D70" s="22">
        <f>54939760.9-243000-413100+78285850+26547200-30184800-53257629.3</f>
        <v>75674281.60000001</v>
      </c>
      <c r="E70" s="23"/>
      <c r="F70" s="22">
        <f>57543839.07+75228250-56448041.18+9000000</f>
        <v>85324047.88999999</v>
      </c>
      <c r="G70" s="23"/>
      <c r="H70" s="22">
        <f>54939760.9-243000-413100+78285850+26547200-30184800-53257629.3</f>
        <v>75674281.60000001</v>
      </c>
      <c r="I70" s="23"/>
      <c r="J70" s="22">
        <f>57543839.07+75228250-56448041.18+9000000</f>
        <v>85324047.88999999</v>
      </c>
    </row>
    <row r="71" spans="1:10" ht="24.75" customHeight="1">
      <c r="A71" s="20" t="s">
        <v>211</v>
      </c>
      <c r="B71" s="160"/>
      <c r="C71" s="160"/>
      <c r="D71" s="22">
        <v>53257629.3</v>
      </c>
      <c r="E71" s="23"/>
      <c r="F71" s="22">
        <f>56448041.18-9000000</f>
        <v>47448041.18</v>
      </c>
      <c r="G71" s="23"/>
      <c r="H71" s="22">
        <v>53257629.3</v>
      </c>
      <c r="I71" s="23"/>
      <c r="J71" s="22">
        <f>56448041.18-9000000</f>
        <v>47448041.18</v>
      </c>
    </row>
    <row r="72" spans="1:10" ht="24.75" customHeight="1">
      <c r="A72" s="20" t="s">
        <v>86</v>
      </c>
      <c r="B72" s="154"/>
      <c r="C72" s="154"/>
      <c r="D72" s="22">
        <v>12924272.75</v>
      </c>
      <c r="E72" s="23"/>
      <c r="F72" s="22">
        <v>12924272.75</v>
      </c>
      <c r="G72" s="23"/>
      <c r="H72" s="22">
        <v>12924272.75</v>
      </c>
      <c r="I72" s="23"/>
      <c r="J72" s="22">
        <v>12924272.75</v>
      </c>
    </row>
    <row r="73" spans="1:10" ht="24.75" customHeight="1">
      <c r="A73" s="20" t="s">
        <v>230</v>
      </c>
      <c r="B73" s="154">
        <v>17</v>
      </c>
      <c r="C73" s="154"/>
      <c r="D73" s="22">
        <f>73197384-4544732.14+4544732.14</f>
        <v>73197384</v>
      </c>
      <c r="E73" s="23"/>
      <c r="F73" s="22">
        <v>7310152.14</v>
      </c>
      <c r="G73" s="23"/>
      <c r="H73" s="22">
        <f>73197384-4544732.14+4544732.14</f>
        <v>73197384</v>
      </c>
      <c r="I73" s="23"/>
      <c r="J73" s="22">
        <v>7310152.14</v>
      </c>
    </row>
    <row r="74" spans="1:10" ht="24.75" customHeight="1">
      <c r="A74" s="20" t="s">
        <v>122</v>
      </c>
      <c r="B74" s="154">
        <v>16</v>
      </c>
      <c r="C74" s="24"/>
      <c r="D74" s="22">
        <v>0</v>
      </c>
      <c r="E74" s="23"/>
      <c r="F74" s="22">
        <v>60000000</v>
      </c>
      <c r="G74" s="23"/>
      <c r="H74" s="22">
        <v>0</v>
      </c>
      <c r="I74" s="23"/>
      <c r="J74" s="22">
        <v>60000000</v>
      </c>
    </row>
    <row r="75" spans="1:10" ht="24.75" customHeight="1">
      <c r="A75" s="20" t="s">
        <v>89</v>
      </c>
      <c r="B75" s="41"/>
      <c r="C75" s="41"/>
      <c r="D75" s="27">
        <f>SUM(D69:D74)</f>
        <v>230653267.65</v>
      </c>
      <c r="E75" s="23"/>
      <c r="F75" s="27">
        <f>SUM(F69:F74)</f>
        <v>228606213.95999998</v>
      </c>
      <c r="G75" s="23"/>
      <c r="H75" s="27">
        <f>SUM(H69:I74)</f>
        <v>230653267.65</v>
      </c>
      <c r="I75" s="23"/>
      <c r="J75" s="27">
        <f>SUM(J69:J74)</f>
        <v>228606213.95999998</v>
      </c>
    </row>
    <row r="76" spans="1:10" ht="24.75" customHeight="1">
      <c r="A76" s="20" t="s">
        <v>90</v>
      </c>
      <c r="B76" s="8"/>
      <c r="C76" s="8"/>
      <c r="D76" s="27">
        <f>SUM(D75+D67)</f>
        <v>1382816786.8200002</v>
      </c>
      <c r="E76" s="23"/>
      <c r="F76" s="27">
        <f>SUM(F75+F67)</f>
        <v>1240140972.02</v>
      </c>
      <c r="G76" s="23"/>
      <c r="H76" s="27">
        <f>SUM(H75+H67)</f>
        <v>1382816786.8200002</v>
      </c>
      <c r="I76" s="23"/>
      <c r="J76" s="27">
        <f>SUM(J75+J67)</f>
        <v>1240140972.02</v>
      </c>
    </row>
    <row r="77" spans="1:10" ht="24.75" customHeight="1">
      <c r="A77" s="20"/>
      <c r="B77" s="8"/>
      <c r="C77" s="8"/>
      <c r="D77" s="22"/>
      <c r="E77" s="23"/>
      <c r="F77" s="22"/>
      <c r="G77" s="23"/>
      <c r="H77" s="22"/>
      <c r="I77" s="23"/>
      <c r="J77" s="22"/>
    </row>
    <row r="78" spans="1:10" ht="24.75" customHeight="1">
      <c r="A78" s="20"/>
      <c r="B78" s="8"/>
      <c r="C78" s="8"/>
      <c r="D78" s="22"/>
      <c r="E78" s="23"/>
      <c r="F78" s="22"/>
      <c r="G78" s="23"/>
      <c r="H78" s="22"/>
      <c r="I78" s="23"/>
      <c r="J78" s="22"/>
    </row>
    <row r="79" spans="1:10" ht="24.75" customHeight="1">
      <c r="A79" s="20"/>
      <c r="B79" s="8"/>
      <c r="C79" s="8"/>
      <c r="D79" s="22"/>
      <c r="E79" s="23"/>
      <c r="F79" s="22"/>
      <c r="G79" s="23"/>
      <c r="H79" s="22"/>
      <c r="I79" s="23"/>
      <c r="J79" s="22"/>
    </row>
    <row r="80" spans="1:10" ht="24.75" customHeight="1">
      <c r="A80" s="20"/>
      <c r="B80" s="8"/>
      <c r="C80" s="8"/>
      <c r="D80" s="22"/>
      <c r="E80" s="23"/>
      <c r="F80" s="22"/>
      <c r="G80" s="23"/>
      <c r="H80" s="22"/>
      <c r="I80" s="23"/>
      <c r="J80" s="22"/>
    </row>
    <row r="81" spans="1:10" ht="24.75" customHeight="1">
      <c r="A81" s="9"/>
      <c r="B81" s="8"/>
      <c r="C81" s="8"/>
      <c r="D81" s="22"/>
      <c r="E81" s="23"/>
      <c r="F81" s="22"/>
      <c r="H81" s="22"/>
      <c r="I81" s="23"/>
      <c r="J81" s="22"/>
    </row>
    <row r="82" s="42" customFormat="1" ht="24.75" customHeight="1">
      <c r="A82" s="20" t="s">
        <v>5</v>
      </c>
    </row>
    <row r="83" s="42" customFormat="1" ht="24.75" customHeight="1"/>
    <row r="84" s="42" customFormat="1" ht="24.75" customHeight="1"/>
    <row r="85" s="42" customFormat="1" ht="24.75" customHeight="1">
      <c r="A85" s="42" t="s">
        <v>120</v>
      </c>
    </row>
    <row r="86" s="42" customFormat="1" ht="24.75" customHeight="1"/>
    <row r="87" s="42" customFormat="1" ht="24.75" customHeight="1"/>
    <row r="88" spans="1:10" s="34" customFormat="1" ht="24.75" customHeight="1">
      <c r="A88" s="245" t="s">
        <v>11</v>
      </c>
      <c r="B88" s="245"/>
      <c r="C88" s="245"/>
      <c r="D88" s="245"/>
      <c r="E88" s="245"/>
      <c r="F88" s="245"/>
      <c r="G88" s="245"/>
      <c r="H88" s="245"/>
      <c r="I88" s="245"/>
      <c r="J88" s="245"/>
    </row>
    <row r="89" spans="1:10" ht="24.75" customHeight="1">
      <c r="A89" s="35" t="s">
        <v>0</v>
      </c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24.75" customHeight="1">
      <c r="A90" s="170" t="s">
        <v>215</v>
      </c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24.75" customHeight="1">
      <c r="A91" s="35" t="s">
        <v>165</v>
      </c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24.75" customHeight="1">
      <c r="A92" s="35" t="s">
        <v>166</v>
      </c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24.75" customHeight="1">
      <c r="A94" s="12"/>
      <c r="B94" s="12"/>
      <c r="C94" s="12"/>
      <c r="D94" s="37"/>
      <c r="E94" s="12"/>
      <c r="F94" s="37"/>
      <c r="H94" s="37"/>
      <c r="I94" s="12"/>
      <c r="J94" s="38" t="s">
        <v>109</v>
      </c>
    </row>
    <row r="95" spans="1:10" ht="24.75" customHeight="1">
      <c r="A95" s="12"/>
      <c r="B95" s="12"/>
      <c r="C95" s="12"/>
      <c r="D95" s="242" t="s">
        <v>61</v>
      </c>
      <c r="E95" s="242"/>
      <c r="F95" s="242"/>
      <c r="G95" s="45"/>
      <c r="H95" s="13" t="s">
        <v>60</v>
      </c>
      <c r="I95" s="14"/>
      <c r="J95" s="15"/>
    </row>
    <row r="96" spans="1:10" ht="24.75" customHeight="1">
      <c r="A96" s="5" t="s">
        <v>12</v>
      </c>
      <c r="B96" s="16" t="s">
        <v>2</v>
      </c>
      <c r="C96" s="16"/>
      <c r="D96" s="225" t="s">
        <v>167</v>
      </c>
      <c r="E96" s="226"/>
      <c r="F96" s="225" t="s">
        <v>168</v>
      </c>
      <c r="G96" s="227"/>
      <c r="H96" s="225" t="s">
        <v>167</v>
      </c>
      <c r="I96" s="226"/>
      <c r="J96" s="225" t="s">
        <v>168</v>
      </c>
    </row>
    <row r="97" spans="1:10" ht="24.75" customHeight="1">
      <c r="A97" s="9"/>
      <c r="B97" s="32"/>
      <c r="C97" s="32"/>
      <c r="D97" s="39"/>
      <c r="E97" s="32"/>
      <c r="F97" s="224" t="s">
        <v>213</v>
      </c>
      <c r="G97" s="19"/>
      <c r="H97" s="17"/>
      <c r="I97" s="18"/>
      <c r="J97" s="224" t="s">
        <v>213</v>
      </c>
    </row>
    <row r="98" spans="1:10" ht="24.75" customHeight="1">
      <c r="A98" s="20" t="s">
        <v>13</v>
      </c>
      <c r="B98" s="32"/>
      <c r="C98" s="32"/>
      <c r="D98" s="39"/>
      <c r="E98" s="32"/>
      <c r="F98" s="224"/>
      <c r="G98" s="19"/>
      <c r="H98" s="17"/>
      <c r="I98" s="18"/>
      <c r="J98" s="224"/>
    </row>
    <row r="99" spans="1:10" ht="24.75" customHeight="1">
      <c r="A99" s="20" t="s">
        <v>96</v>
      </c>
      <c r="B99" s="43"/>
      <c r="C99" s="43"/>
      <c r="D99" s="39"/>
      <c r="E99" s="32"/>
      <c r="F99" s="39"/>
      <c r="H99" s="39"/>
      <c r="I99" s="32"/>
      <c r="J99" s="39"/>
    </row>
    <row r="100" spans="1:10" ht="24.75" customHeight="1">
      <c r="A100" s="20" t="s">
        <v>97</v>
      </c>
      <c r="B100" s="32"/>
      <c r="C100" s="32"/>
      <c r="D100" s="39"/>
      <c r="E100" s="32"/>
      <c r="F100" s="39"/>
      <c r="H100" s="39"/>
      <c r="I100" s="32"/>
      <c r="J100" s="39"/>
    </row>
    <row r="101" spans="1:10" ht="24.75" customHeight="1" thickBot="1">
      <c r="A101" s="20" t="s">
        <v>98</v>
      </c>
      <c r="B101" s="32"/>
      <c r="C101" s="32"/>
      <c r="D101" s="44">
        <f>80000000*10</f>
        <v>800000000</v>
      </c>
      <c r="E101" s="32"/>
      <c r="F101" s="44">
        <f>80000000*10</f>
        <v>800000000</v>
      </c>
      <c r="H101" s="44">
        <f>80000000*10</f>
        <v>800000000</v>
      </c>
      <c r="I101" s="32"/>
      <c r="J101" s="44">
        <f>80000000*10</f>
        <v>800000000</v>
      </c>
    </row>
    <row r="102" spans="1:10" ht="24.75" customHeight="1" thickTop="1">
      <c r="A102" s="20" t="s">
        <v>99</v>
      </c>
      <c r="B102" s="32"/>
      <c r="C102" s="32"/>
      <c r="D102" s="39"/>
      <c r="E102" s="32"/>
      <c r="F102" s="39"/>
      <c r="H102" s="39"/>
      <c r="I102" s="32"/>
      <c r="J102" s="39"/>
    </row>
    <row r="103" spans="1:10" ht="24.75" customHeight="1">
      <c r="A103" s="20" t="s">
        <v>100</v>
      </c>
      <c r="B103" s="32"/>
      <c r="C103" s="32"/>
      <c r="D103" s="62">
        <v>494034300</v>
      </c>
      <c r="E103" s="23"/>
      <c r="F103" s="62">
        <v>494034300</v>
      </c>
      <c r="G103" s="45"/>
      <c r="H103" s="62">
        <v>494034300</v>
      </c>
      <c r="I103" s="23"/>
      <c r="J103" s="62">
        <v>494034300</v>
      </c>
    </row>
    <row r="104" spans="1:10" ht="27.75" customHeight="1">
      <c r="A104" s="20" t="s">
        <v>101</v>
      </c>
      <c r="B104" s="32"/>
      <c r="C104" s="32"/>
      <c r="D104" s="22">
        <v>1041357580</v>
      </c>
      <c r="E104" s="23"/>
      <c r="F104" s="22">
        <v>1041357580</v>
      </c>
      <c r="G104" s="45"/>
      <c r="H104" s="22">
        <v>1041357580</v>
      </c>
      <c r="I104" s="23"/>
      <c r="J104" s="22">
        <v>1041357580</v>
      </c>
    </row>
    <row r="105" spans="1:13" ht="27.75" customHeight="1">
      <c r="A105" s="20" t="s">
        <v>226</v>
      </c>
      <c r="B105" s="32"/>
      <c r="C105" s="32"/>
      <c r="D105" s="22">
        <f>'งบแสดงฯ '!G31</f>
        <v>6151888.73</v>
      </c>
      <c r="E105" s="23"/>
      <c r="F105" s="22">
        <f>'งบแสดงฯ '!G20</f>
        <v>6151888.73</v>
      </c>
      <c r="G105" s="45"/>
      <c r="H105" s="22">
        <v>0</v>
      </c>
      <c r="I105" s="23"/>
      <c r="J105" s="22">
        <v>0</v>
      </c>
      <c r="M105" s="80"/>
    </row>
    <row r="106" spans="1:13" ht="24.75" customHeight="1">
      <c r="A106" s="20" t="s">
        <v>110</v>
      </c>
      <c r="B106" s="32"/>
      <c r="C106" s="32"/>
      <c r="D106" s="62"/>
      <c r="E106" s="23"/>
      <c r="F106" s="62"/>
      <c r="G106" s="45"/>
      <c r="H106" s="62"/>
      <c r="I106" s="23"/>
      <c r="J106" s="62"/>
      <c r="M106" s="80"/>
    </row>
    <row r="107" spans="1:13" ht="24.75" customHeight="1">
      <c r="A107" s="20" t="s">
        <v>102</v>
      </c>
      <c r="B107" s="32"/>
      <c r="C107" s="32"/>
      <c r="D107" s="62"/>
      <c r="E107" s="23"/>
      <c r="F107" s="62"/>
      <c r="G107" s="45"/>
      <c r="H107" s="62"/>
      <c r="I107" s="23"/>
      <c r="J107" s="62"/>
      <c r="M107" s="80"/>
    </row>
    <row r="108" spans="1:10" ht="24.75" customHeight="1">
      <c r="A108" s="20" t="s">
        <v>103</v>
      </c>
      <c r="B108" s="154">
        <v>19</v>
      </c>
      <c r="C108" s="32"/>
      <c r="D108" s="22">
        <v>80000000</v>
      </c>
      <c r="E108" s="23"/>
      <c r="F108" s="22">
        <v>80000000</v>
      </c>
      <c r="G108" s="45"/>
      <c r="H108" s="22">
        <v>80000000</v>
      </c>
      <c r="I108" s="23"/>
      <c r="J108" s="22">
        <v>80000000</v>
      </c>
    </row>
    <row r="109" spans="1:10" ht="24.75" customHeight="1">
      <c r="A109" s="20" t="s">
        <v>104</v>
      </c>
      <c r="B109" s="154">
        <v>20</v>
      </c>
      <c r="C109" s="32"/>
      <c r="D109" s="22">
        <v>280000000</v>
      </c>
      <c r="E109" s="23"/>
      <c r="F109" s="22">
        <v>280000000</v>
      </c>
      <c r="G109" s="45"/>
      <c r="H109" s="22">
        <v>280000000</v>
      </c>
      <c r="I109" s="23"/>
      <c r="J109" s="22">
        <v>280000000</v>
      </c>
    </row>
    <row r="110" spans="1:10" ht="24.75" customHeight="1">
      <c r="A110" s="20" t="s">
        <v>105</v>
      </c>
      <c r="B110" s="43"/>
      <c r="C110" s="43"/>
      <c r="D110" s="22">
        <f>'งบแสดงฯ '!M31</f>
        <v>9423660457.159998</v>
      </c>
      <c r="E110" s="32"/>
      <c r="F110" s="22">
        <f>'งบแสดงฯ '!M20</f>
        <v>9583602708.41</v>
      </c>
      <c r="H110" s="22">
        <f>'งบแสดงฯ เฉพาะ'!K31</f>
        <v>2741629161.41</v>
      </c>
      <c r="I110" s="32"/>
      <c r="J110" s="22">
        <f>'งบแสดงฯ เฉพาะ'!K21</f>
        <v>2723458860.04</v>
      </c>
    </row>
    <row r="111" spans="1:10" ht="24.75" customHeight="1">
      <c r="A111" s="20" t="s">
        <v>177</v>
      </c>
      <c r="B111" s="43"/>
      <c r="C111" s="43"/>
      <c r="D111" s="22">
        <f>'งบแสดงฯ '!O31+'งบแสดงฯ '!Q31</f>
        <v>2397575084.3100004</v>
      </c>
      <c r="E111" s="32"/>
      <c r="F111" s="22">
        <f>'งบแสดงฯ '!O20+'งบแสดงฯ '!Q20</f>
        <v>2282687365.83</v>
      </c>
      <c r="H111" s="22">
        <f>'งบแสดงฯ เฉพาะ'!M31</f>
        <v>1214452454.38</v>
      </c>
      <c r="I111" s="32"/>
      <c r="J111" s="22">
        <f>'งบแสดงฯ เฉพาะ'!M26</f>
        <v>1109014747.82</v>
      </c>
    </row>
    <row r="112" spans="1:10" ht="24.75" customHeight="1">
      <c r="A112" s="20" t="s">
        <v>106</v>
      </c>
      <c r="B112" s="32"/>
      <c r="C112" s="32"/>
      <c r="D112" s="27">
        <f>SUM(D103:D111)</f>
        <v>13722779310.199997</v>
      </c>
      <c r="E112" s="32"/>
      <c r="F112" s="27">
        <f>SUM(F103:F111)</f>
        <v>13767833842.97</v>
      </c>
      <c r="H112" s="27">
        <f>SUM(H103:H111)</f>
        <v>5851473495.79</v>
      </c>
      <c r="I112" s="32"/>
      <c r="J112" s="27">
        <f>SUM(J103:J111)</f>
        <v>5727865487.86</v>
      </c>
    </row>
    <row r="113" spans="1:10" ht="24.75" customHeight="1" thickBot="1">
      <c r="A113" s="20" t="s">
        <v>14</v>
      </c>
      <c r="B113" s="32"/>
      <c r="C113" s="32"/>
      <c r="D113" s="33">
        <f>+D76+D112</f>
        <v>15105596097.019997</v>
      </c>
      <c r="E113" s="32"/>
      <c r="F113" s="33">
        <f>+F76+F112</f>
        <v>15007974814.99</v>
      </c>
      <c r="H113" s="33">
        <f>+H76+H112</f>
        <v>7234290282.610001</v>
      </c>
      <c r="I113" s="32"/>
      <c r="J113" s="33">
        <f>+J76+J112</f>
        <v>6968006459.879999</v>
      </c>
    </row>
    <row r="114" spans="1:9" ht="24.75" customHeight="1" thickTop="1">
      <c r="A114" s="20"/>
      <c r="B114" s="32"/>
      <c r="C114" s="32"/>
      <c r="E114" s="25"/>
      <c r="G114" s="25"/>
      <c r="I114" s="25"/>
    </row>
    <row r="115" spans="2:9" ht="24.75" customHeight="1">
      <c r="B115" s="32"/>
      <c r="C115" s="32"/>
      <c r="E115" s="32"/>
      <c r="I115" s="32"/>
    </row>
    <row r="116" s="175" customFormat="1" ht="24.75" customHeight="1">
      <c r="D116" s="228"/>
    </row>
    <row r="117" spans="1:4" s="175" customFormat="1" ht="24.75" customHeight="1">
      <c r="A117" s="20" t="s">
        <v>5</v>
      </c>
      <c r="D117" s="228"/>
    </row>
    <row r="118" s="175" customFormat="1" ht="24.75" customHeight="1">
      <c r="D118" s="228"/>
    </row>
    <row r="119" s="175" customFormat="1" ht="24.75" customHeight="1">
      <c r="D119" s="61"/>
    </row>
    <row r="120" s="175" customFormat="1" ht="24.75" customHeight="1">
      <c r="D120" s="61"/>
    </row>
    <row r="121" s="175" customFormat="1" ht="24.75" customHeight="1">
      <c r="D121" s="61"/>
    </row>
    <row r="122" spans="1:10" ht="24.75" customHeight="1">
      <c r="A122" s="229" t="s">
        <v>119</v>
      </c>
      <c r="B122" s="140"/>
      <c r="C122" s="140"/>
      <c r="D122" s="141"/>
      <c r="E122" s="140"/>
      <c r="F122" s="141"/>
      <c r="G122" s="140"/>
      <c r="H122" s="141"/>
      <c r="I122" s="140"/>
      <c r="J122" s="141"/>
    </row>
    <row r="123" ht="24.75" customHeight="1"/>
    <row r="124" ht="24.75" customHeight="1"/>
  </sheetData>
  <sheetProtection/>
  <mergeCells count="6">
    <mergeCell ref="D95:F95"/>
    <mergeCell ref="D7:F7"/>
    <mergeCell ref="H7:J7"/>
    <mergeCell ref="D51:F51"/>
    <mergeCell ref="A44:J44"/>
    <mergeCell ref="A88:J88"/>
  </mergeCells>
  <printOptions/>
  <pageMargins left="0.6299212598425197" right="0.1968503937007874" top="0.63" bottom="0.3937007874015748" header="0.2755905511811024" footer="0.2755905511811024"/>
  <pageSetup horizontalDpi="600" verticalDpi="600" orientation="portrait" paperSize="9" scale="75" r:id="rId1"/>
  <headerFooter alignWithMargins="0">
    <oddFooter>&amp;R&amp;"AngsanaUPC,ตัวปกติ"&amp;10
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G8" sqref="G8:K8"/>
    </sheetView>
  </sheetViews>
  <sheetFormatPr defaultColWidth="9.140625" defaultRowHeight="24" customHeight="1"/>
  <cols>
    <col min="1" max="2" width="4.140625" style="64" customWidth="1"/>
    <col min="3" max="3" width="30.421875" style="64" customWidth="1"/>
    <col min="4" max="4" width="9.7109375" style="64" customWidth="1"/>
    <col min="5" max="5" width="18.7109375" style="64" customWidth="1"/>
    <col min="6" max="6" width="1.57421875" style="64" customWidth="1"/>
    <col min="7" max="7" width="18.7109375" style="64" customWidth="1"/>
    <col min="8" max="8" width="1.421875" style="64" customWidth="1"/>
    <col min="9" max="9" width="18.7109375" style="64" customWidth="1"/>
    <col min="10" max="10" width="1.7109375" style="64" customWidth="1"/>
    <col min="11" max="11" width="18.7109375" style="64" customWidth="1"/>
    <col min="12" max="12" width="1.7109375" style="64" hidden="1" customWidth="1"/>
    <col min="13" max="14" width="0" style="64" hidden="1" customWidth="1"/>
    <col min="15" max="15" width="1.1484375" style="64" customWidth="1"/>
    <col min="16" max="16384" width="9.140625" style="64" customWidth="1"/>
  </cols>
  <sheetData>
    <row r="1" spans="1:11" ht="24" customHeight="1">
      <c r="A1" s="70" t="s">
        <v>150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4" customHeight="1">
      <c r="A2" s="171" t="s">
        <v>178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4" customHeight="1">
      <c r="A3" s="70" t="s">
        <v>169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4" customHeight="1">
      <c r="A4" s="70" t="s">
        <v>144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4" customHeight="1">
      <c r="A5" s="55"/>
      <c r="B5" s="55"/>
      <c r="C5" s="55"/>
      <c r="K5" s="65" t="s">
        <v>109</v>
      </c>
    </row>
    <row r="6" spans="1:11" ht="24" customHeight="1">
      <c r="A6" s="55"/>
      <c r="B6" s="55"/>
      <c r="C6" s="55"/>
      <c r="E6" s="246" t="s">
        <v>61</v>
      </c>
      <c r="F6" s="246"/>
      <c r="G6" s="246"/>
      <c r="I6" s="56"/>
      <c r="J6" s="56" t="s">
        <v>60</v>
      </c>
      <c r="K6" s="66"/>
    </row>
    <row r="7" spans="1:11" ht="24" customHeight="1">
      <c r="A7" s="1"/>
      <c r="B7" s="1"/>
      <c r="C7" s="1"/>
      <c r="D7" s="173" t="s">
        <v>2</v>
      </c>
      <c r="E7" s="51" t="s">
        <v>170</v>
      </c>
      <c r="F7" s="52"/>
      <c r="G7" s="51" t="s">
        <v>157</v>
      </c>
      <c r="H7" s="53"/>
      <c r="I7" s="51" t="s">
        <v>170</v>
      </c>
      <c r="J7" s="52"/>
      <c r="K7" s="51" t="s">
        <v>157</v>
      </c>
    </row>
    <row r="8" spans="2:11" ht="24" customHeight="1">
      <c r="B8" s="57"/>
      <c r="C8" s="2"/>
      <c r="E8" s="67"/>
      <c r="G8" s="224" t="s">
        <v>213</v>
      </c>
      <c r="H8" s="19"/>
      <c r="I8" s="17"/>
      <c r="J8" s="18"/>
      <c r="K8" s="224" t="s">
        <v>213</v>
      </c>
    </row>
    <row r="9" spans="1:11" ht="24" customHeight="1">
      <c r="A9" s="57" t="s">
        <v>15</v>
      </c>
      <c r="B9" s="57"/>
      <c r="C9" s="2"/>
      <c r="D9" s="173"/>
      <c r="E9" s="67"/>
      <c r="G9" s="224"/>
      <c r="H9" s="19"/>
      <c r="I9" s="17"/>
      <c r="J9" s="18"/>
      <c r="K9" s="224"/>
    </row>
    <row r="10" spans="1:11" ht="24" customHeight="1">
      <c r="A10" s="2"/>
      <c r="B10" s="2" t="s">
        <v>123</v>
      </c>
      <c r="D10" s="161"/>
      <c r="E10" s="4">
        <v>380964006.83</v>
      </c>
      <c r="F10" s="68"/>
      <c r="G10" s="4">
        <v>376989684.87</v>
      </c>
      <c r="H10" s="68"/>
      <c r="I10" s="4">
        <v>380964006.83</v>
      </c>
      <c r="J10" s="68"/>
      <c r="K10" s="4">
        <v>376989684.87</v>
      </c>
    </row>
    <row r="11" spans="1:11" ht="24" customHeight="1">
      <c r="A11" s="2"/>
      <c r="B11" s="2" t="s">
        <v>136</v>
      </c>
      <c r="D11" s="161"/>
      <c r="E11" s="4">
        <f>26547200-26547200</f>
        <v>0</v>
      </c>
      <c r="F11" s="68"/>
      <c r="G11" s="4">
        <f>12555950-2310950</f>
        <v>10245000</v>
      </c>
      <c r="H11" s="68"/>
      <c r="I11" s="4">
        <f>26547200-26547200</f>
        <v>0</v>
      </c>
      <c r="J11" s="68"/>
      <c r="K11" s="4">
        <f>12555950-2310950</f>
        <v>10245000</v>
      </c>
    </row>
    <row r="12" spans="1:11" ht="24" customHeight="1">
      <c r="A12" s="2"/>
      <c r="B12" s="2" t="s">
        <v>137</v>
      </c>
      <c r="D12" s="161"/>
      <c r="E12" s="4">
        <v>61585456.36</v>
      </c>
      <c r="F12" s="68"/>
      <c r="G12" s="4">
        <v>52468812.489999995</v>
      </c>
      <c r="H12" s="68"/>
      <c r="I12" s="4">
        <v>61585456.36</v>
      </c>
      <c r="J12" s="68"/>
      <c r="K12" s="4">
        <v>52468812.489999995</v>
      </c>
    </row>
    <row r="13" spans="1:11" ht="24" customHeight="1">
      <c r="A13" s="2"/>
      <c r="B13" s="2" t="s">
        <v>56</v>
      </c>
      <c r="D13" s="161"/>
      <c r="E13" s="4"/>
      <c r="F13" s="68"/>
      <c r="G13" s="4"/>
      <c r="H13" s="68"/>
      <c r="I13" s="4"/>
      <c r="J13" s="68"/>
      <c r="K13" s="4"/>
    </row>
    <row r="14" spans="1:11" ht="24" customHeight="1">
      <c r="A14" s="58"/>
      <c r="B14" s="64" t="s">
        <v>57</v>
      </c>
      <c r="D14" s="161"/>
      <c r="E14" s="4">
        <f>205939035.98+5634220.48</f>
        <v>211573256.45999998</v>
      </c>
      <c r="F14" s="68"/>
      <c r="G14" s="4">
        <v>203206465.28</v>
      </c>
      <c r="H14" s="68"/>
      <c r="I14" s="4">
        <v>0</v>
      </c>
      <c r="J14" s="68"/>
      <c r="K14" s="4">
        <v>0</v>
      </c>
    </row>
    <row r="15" spans="1:11" ht="24" customHeight="1">
      <c r="A15" s="58"/>
      <c r="B15" s="2" t="s">
        <v>124</v>
      </c>
      <c r="D15" s="161"/>
      <c r="E15" s="4">
        <f>86062629.75-30288000+3075000.83</f>
        <v>58849630.58</v>
      </c>
      <c r="F15" s="68"/>
      <c r="G15" s="4">
        <v>49558123.85</v>
      </c>
      <c r="H15" s="68"/>
      <c r="I15" s="4">
        <f>86062629.75+3075000.83</f>
        <v>89137630.58</v>
      </c>
      <c r="J15" s="68"/>
      <c r="K15" s="4">
        <v>55168123.85</v>
      </c>
    </row>
    <row r="16" spans="1:11" ht="24" customHeight="1">
      <c r="A16" s="58"/>
      <c r="B16" s="58" t="s">
        <v>49</v>
      </c>
      <c r="C16" s="2"/>
      <c r="D16" s="161"/>
      <c r="E16" s="4"/>
      <c r="F16" s="68"/>
      <c r="G16" s="4"/>
      <c r="H16" s="68"/>
      <c r="I16" s="4"/>
      <c r="J16" s="68"/>
      <c r="K16" s="4"/>
    </row>
    <row r="17" spans="1:11" ht="24" customHeight="1">
      <c r="A17" s="58"/>
      <c r="B17" s="58"/>
      <c r="C17" s="2" t="s">
        <v>125</v>
      </c>
      <c r="D17" s="161"/>
      <c r="E17" s="4">
        <v>9344.79</v>
      </c>
      <c r="F17" s="68"/>
      <c r="G17" s="4">
        <v>0</v>
      </c>
      <c r="H17" s="68"/>
      <c r="I17" s="4">
        <v>9344.79</v>
      </c>
      <c r="J17" s="68"/>
      <c r="K17" s="4">
        <v>0</v>
      </c>
    </row>
    <row r="18" spans="1:11" ht="24" customHeight="1">
      <c r="A18" s="58"/>
      <c r="B18" s="58"/>
      <c r="C18" s="2" t="s">
        <v>173</v>
      </c>
      <c r="D18" s="161"/>
      <c r="E18" s="4">
        <v>23353044.08</v>
      </c>
      <c r="F18" s="68"/>
      <c r="G18" s="4">
        <v>0</v>
      </c>
      <c r="H18" s="68"/>
      <c r="I18" s="4">
        <v>23353044.08</v>
      </c>
      <c r="J18" s="68"/>
      <c r="K18" s="4">
        <v>0</v>
      </c>
    </row>
    <row r="19" spans="1:11" ht="24" customHeight="1">
      <c r="A19" s="58"/>
      <c r="B19" s="58"/>
      <c r="C19" s="2" t="s">
        <v>126</v>
      </c>
      <c r="D19" s="161"/>
      <c r="E19" s="4">
        <v>1106.81</v>
      </c>
      <c r="F19" s="68"/>
      <c r="G19" s="4">
        <v>61231.3</v>
      </c>
      <c r="H19" s="68"/>
      <c r="I19" s="4">
        <v>1106.81</v>
      </c>
      <c r="J19" s="68"/>
      <c r="K19" s="4">
        <v>61231.3</v>
      </c>
    </row>
    <row r="20" spans="1:11" ht="24" customHeight="1">
      <c r="A20" s="2"/>
      <c r="B20" s="2"/>
      <c r="C20" s="2" t="s">
        <v>159</v>
      </c>
      <c r="D20" s="161"/>
      <c r="E20" s="159">
        <f>3100000-2717.8</f>
        <v>3097282.2</v>
      </c>
      <c r="F20" s="1"/>
      <c r="G20" s="1">
        <v>1727451.77</v>
      </c>
      <c r="I20" s="4">
        <f>3100000-2717.8</f>
        <v>3097282.2</v>
      </c>
      <c r="J20" s="1"/>
      <c r="K20" s="1">
        <v>1727451.77</v>
      </c>
    </row>
    <row r="21" spans="1:11" ht="24" customHeight="1">
      <c r="A21" s="58"/>
      <c r="B21" s="58"/>
      <c r="C21" s="2" t="s">
        <v>127</v>
      </c>
      <c r="D21" s="161"/>
      <c r="E21" s="4">
        <v>477.36</v>
      </c>
      <c r="F21" s="68"/>
      <c r="G21" s="4">
        <v>30576.26</v>
      </c>
      <c r="H21" s="68"/>
      <c r="I21" s="159">
        <v>477.36</v>
      </c>
      <c r="J21" s="68"/>
      <c r="K21" s="4">
        <v>30576.26</v>
      </c>
    </row>
    <row r="22" spans="1:11" ht="24" customHeight="1">
      <c r="A22" s="58"/>
      <c r="B22" s="58"/>
      <c r="C22" s="2" t="s">
        <v>128</v>
      </c>
      <c r="D22" s="161"/>
      <c r="E22" s="2">
        <v>2373553.56</v>
      </c>
      <c r="G22" s="2">
        <v>1836176.03</v>
      </c>
      <c r="I22" s="2">
        <v>2373553.56</v>
      </c>
      <c r="K22" s="2">
        <v>1836176.03</v>
      </c>
    </row>
    <row r="23" spans="1:11" ht="24" customHeight="1">
      <c r="A23" s="58"/>
      <c r="B23" s="57" t="s">
        <v>138</v>
      </c>
      <c r="D23" s="161"/>
      <c r="E23" s="59">
        <f>SUM(E10:E22)</f>
        <v>741807159.03</v>
      </c>
      <c r="G23" s="59">
        <f>SUM(G10:G22)</f>
        <v>696123521.8499999</v>
      </c>
      <c r="I23" s="59">
        <f>SUM(I10:I22)</f>
        <v>560521902.5699999</v>
      </c>
      <c r="K23" s="59">
        <f>SUM(K10:K22)</f>
        <v>498527056.57</v>
      </c>
    </row>
    <row r="24" spans="1:4" ht="24" customHeight="1">
      <c r="A24" s="57" t="s">
        <v>17</v>
      </c>
      <c r="B24" s="57"/>
      <c r="C24" s="2"/>
      <c r="D24" s="162"/>
    </row>
    <row r="25" spans="1:11" ht="24" customHeight="1">
      <c r="A25" s="2"/>
      <c r="B25" s="2" t="s">
        <v>131</v>
      </c>
      <c r="C25" s="2"/>
      <c r="D25" s="164">
        <v>21</v>
      </c>
      <c r="E25" s="3">
        <v>354764229.70000005</v>
      </c>
      <c r="F25" s="3"/>
      <c r="G25" s="3">
        <v>352043057.24</v>
      </c>
      <c r="H25" s="68"/>
      <c r="I25" s="3">
        <v>354764229.70000005</v>
      </c>
      <c r="J25" s="3"/>
      <c r="K25" s="3">
        <v>352043057.24</v>
      </c>
    </row>
    <row r="26" spans="1:11" ht="24" customHeight="1">
      <c r="A26" s="2"/>
      <c r="B26" s="2" t="s">
        <v>50</v>
      </c>
      <c r="C26" s="2"/>
      <c r="D26" s="164"/>
      <c r="E26" s="3">
        <f>1198853.5-1198853.5</f>
        <v>0</v>
      </c>
      <c r="F26" s="3"/>
      <c r="G26" s="3">
        <f>529979.31-182330.4</f>
        <v>347648.91000000003</v>
      </c>
      <c r="H26" s="68"/>
      <c r="I26" s="3">
        <f>1198853.5-1198853.5</f>
        <v>0</v>
      </c>
      <c r="J26" s="3"/>
      <c r="K26" s="3">
        <f>529979.31-182330.4</f>
        <v>347648.91000000003</v>
      </c>
    </row>
    <row r="27" spans="1:11" ht="24" customHeight="1">
      <c r="A27" s="2"/>
      <c r="B27" s="2" t="s">
        <v>194</v>
      </c>
      <c r="C27" s="2"/>
      <c r="D27" s="164">
        <v>21</v>
      </c>
      <c r="E27" s="3">
        <f>40961994.85+3807879.27+12100-1304843.19+18614.83</f>
        <v>43495745.760000005</v>
      </c>
      <c r="F27" s="3"/>
      <c r="G27" s="3">
        <f>34345670.84+4192527.18</f>
        <v>38538198.02</v>
      </c>
      <c r="H27" s="68"/>
      <c r="I27" s="3">
        <f>40961994.85+3807879.27+12100-1304843.19+18614.83</f>
        <v>43495745.760000005</v>
      </c>
      <c r="J27" s="3"/>
      <c r="K27" s="3">
        <f>34345670.84+4192527.18</f>
        <v>38538198.02</v>
      </c>
    </row>
    <row r="28" spans="1:11" ht="24" customHeight="1">
      <c r="A28" s="2"/>
      <c r="B28" s="2" t="s">
        <v>139</v>
      </c>
      <c r="C28" s="2"/>
      <c r="D28" s="164"/>
      <c r="E28" s="3"/>
      <c r="F28" s="3"/>
      <c r="G28" s="3"/>
      <c r="H28" s="68"/>
      <c r="I28" s="3"/>
      <c r="J28" s="3"/>
      <c r="K28" s="3"/>
    </row>
    <row r="29" spans="1:11" ht="24" customHeight="1">
      <c r="A29" s="2"/>
      <c r="B29" s="64" t="s">
        <v>140</v>
      </c>
      <c r="D29" s="164"/>
      <c r="E29" s="3">
        <v>1954193.98</v>
      </c>
      <c r="F29" s="3"/>
      <c r="G29" s="3">
        <v>1051869.23</v>
      </c>
      <c r="H29" s="68"/>
      <c r="I29" s="3">
        <v>0</v>
      </c>
      <c r="J29" s="3"/>
      <c r="K29" s="3">
        <v>0</v>
      </c>
    </row>
    <row r="30" spans="1:11" ht="24" customHeight="1">
      <c r="A30" s="2"/>
      <c r="B30" s="2" t="s">
        <v>132</v>
      </c>
      <c r="C30" s="2"/>
      <c r="D30" s="164">
        <v>21</v>
      </c>
      <c r="E30" s="3">
        <f>59064880.29+4000+1-5597796.13+1304843.19-18614.83</f>
        <v>54757313.519999996</v>
      </c>
      <c r="F30" s="3"/>
      <c r="G30" s="3">
        <v>55477113.68</v>
      </c>
      <c r="H30" s="68"/>
      <c r="I30" s="3">
        <f>59064880.29+4000+1-5597796.13+1304843.19-18614.83</f>
        <v>54757313.519999996</v>
      </c>
      <c r="J30" s="3"/>
      <c r="K30" s="3">
        <v>55477113.68</v>
      </c>
    </row>
    <row r="31" spans="1:11" ht="24" customHeight="1">
      <c r="A31" s="2"/>
      <c r="B31" s="2" t="s">
        <v>160</v>
      </c>
      <c r="C31" s="2"/>
      <c r="D31" s="163"/>
      <c r="E31" s="3">
        <v>15583189.53</v>
      </c>
      <c r="F31" s="3"/>
      <c r="G31" s="3">
        <v>13381565.37</v>
      </c>
      <c r="H31" s="68"/>
      <c r="I31" s="3">
        <v>15583189.53</v>
      </c>
      <c r="J31" s="3"/>
      <c r="K31" s="3">
        <v>13381565.37</v>
      </c>
    </row>
    <row r="32" spans="1:11" ht="24" customHeight="1">
      <c r="A32" s="2"/>
      <c r="B32" s="2" t="s">
        <v>117</v>
      </c>
      <c r="C32" s="2"/>
      <c r="D32" s="161"/>
      <c r="E32" s="3">
        <v>504000</v>
      </c>
      <c r="F32" s="3"/>
      <c r="G32" s="3">
        <v>480000</v>
      </c>
      <c r="H32" s="68"/>
      <c r="I32" s="3">
        <v>504000</v>
      </c>
      <c r="J32" s="3"/>
      <c r="K32" s="3">
        <v>480000</v>
      </c>
    </row>
    <row r="33" spans="1:11" ht="24" customHeight="1">
      <c r="A33" s="2"/>
      <c r="B33" s="2" t="s">
        <v>129</v>
      </c>
      <c r="C33" s="2"/>
      <c r="D33" s="161"/>
      <c r="E33" s="3"/>
      <c r="F33" s="3"/>
      <c r="G33" s="3"/>
      <c r="H33" s="68"/>
      <c r="I33" s="3"/>
      <c r="J33" s="3"/>
      <c r="K33" s="3"/>
    </row>
    <row r="34" spans="1:11" ht="24" customHeight="1">
      <c r="A34" s="2"/>
      <c r="B34" s="2"/>
      <c r="C34" s="2" t="s">
        <v>118</v>
      </c>
      <c r="D34" s="161"/>
      <c r="E34" s="3">
        <v>1733.67</v>
      </c>
      <c r="F34" s="3"/>
      <c r="G34" s="3">
        <v>103319.51</v>
      </c>
      <c r="H34" s="68"/>
      <c r="I34" s="3">
        <v>1733.67</v>
      </c>
      <c r="J34" s="3"/>
      <c r="K34" s="3">
        <v>103319.51</v>
      </c>
    </row>
    <row r="35" spans="1:11" s="174" customFormat="1" ht="24" customHeight="1">
      <c r="A35" s="2"/>
      <c r="B35" s="2"/>
      <c r="C35" s="2" t="s">
        <v>163</v>
      </c>
      <c r="D35" s="3"/>
      <c r="E35" s="159">
        <v>0</v>
      </c>
      <c r="F35" s="3"/>
      <c r="G35" s="22">
        <v>3626157.27</v>
      </c>
      <c r="H35" s="22"/>
      <c r="I35" s="3">
        <v>0</v>
      </c>
      <c r="J35" s="22"/>
      <c r="K35" s="22">
        <v>3626157.27</v>
      </c>
    </row>
    <row r="36" spans="1:11" ht="24" customHeight="1">
      <c r="A36" s="2"/>
      <c r="B36" s="2"/>
      <c r="C36" s="2" t="s">
        <v>133</v>
      </c>
      <c r="D36" s="161"/>
      <c r="E36" s="22">
        <f>2717.8+449147.22-2717.8</f>
        <v>449147.22</v>
      </c>
      <c r="F36" s="1"/>
      <c r="G36" s="1">
        <v>0</v>
      </c>
      <c r="I36" s="22">
        <f>2717.8+449147.22-2717.8</f>
        <v>449147.22</v>
      </c>
      <c r="J36" s="1"/>
      <c r="K36" s="1">
        <v>0</v>
      </c>
    </row>
    <row r="37" spans="1:11" ht="24" customHeight="1">
      <c r="A37" s="58"/>
      <c r="B37" s="58"/>
      <c r="C37" s="57" t="s">
        <v>141</v>
      </c>
      <c r="D37" s="161"/>
      <c r="E37" s="59">
        <f>SUM(E25:E36)</f>
        <v>471509553.38000005</v>
      </c>
      <c r="G37" s="59">
        <f>SUM(G25:G36)</f>
        <v>465048929.23</v>
      </c>
      <c r="I37" s="59">
        <f>SUM(I25:I36)</f>
        <v>469555359.40000004</v>
      </c>
      <c r="K37" s="59">
        <f>SUM(K25:K36)</f>
        <v>463997060</v>
      </c>
    </row>
    <row r="38" spans="1:11" ht="24" customHeight="1">
      <c r="A38" s="54" t="s">
        <v>134</v>
      </c>
      <c r="B38" s="54"/>
      <c r="C38" s="57"/>
      <c r="D38" s="161"/>
      <c r="E38" s="4">
        <f>E23-E37</f>
        <v>270297605.6499999</v>
      </c>
      <c r="G38" s="4">
        <f>G23-G37</f>
        <v>231074592.6199999</v>
      </c>
      <c r="I38" s="4">
        <f>I23-I37</f>
        <v>90966543.1699999</v>
      </c>
      <c r="K38" s="4">
        <f>K23-K37</f>
        <v>34529996.56999999</v>
      </c>
    </row>
    <row r="39" spans="1:11" ht="24" customHeight="1">
      <c r="A39" s="58"/>
      <c r="B39" s="58"/>
      <c r="C39" s="2" t="s">
        <v>130</v>
      </c>
      <c r="D39" s="161"/>
      <c r="E39" s="4">
        <v>6313847.94</v>
      </c>
      <c r="G39" s="4">
        <v>6607827.32</v>
      </c>
      <c r="I39" s="4">
        <v>6313847.94</v>
      </c>
      <c r="K39" s="4">
        <v>6607827.32</v>
      </c>
    </row>
    <row r="40" spans="1:11" ht="24" customHeight="1" thickBot="1">
      <c r="A40" s="54" t="s">
        <v>179</v>
      </c>
      <c r="B40" s="58"/>
      <c r="C40" s="57"/>
      <c r="D40" s="161"/>
      <c r="E40" s="60">
        <f>E38-E39</f>
        <v>263983757.70999992</v>
      </c>
      <c r="G40" s="60">
        <f>G38-G39</f>
        <v>224466765.2999999</v>
      </c>
      <c r="I40" s="60">
        <f>I38-I39</f>
        <v>84652695.2299999</v>
      </c>
      <c r="K40" s="60">
        <f>K38-K39</f>
        <v>27922169.249999993</v>
      </c>
    </row>
    <row r="41" spans="1:11" ht="24" customHeight="1" thickTop="1">
      <c r="A41" s="54"/>
      <c r="B41" s="58"/>
      <c r="C41" s="57"/>
      <c r="D41" s="161"/>
      <c r="E41" s="4"/>
      <c r="G41" s="4"/>
      <c r="I41" s="4"/>
      <c r="K41" s="4"/>
    </row>
    <row r="42" spans="1:4" ht="24" customHeight="1">
      <c r="A42" s="2" t="s">
        <v>5</v>
      </c>
      <c r="B42" s="2"/>
      <c r="C42" s="2"/>
      <c r="D42" s="68"/>
    </row>
    <row r="43" spans="1:3" ht="24" customHeight="1">
      <c r="A43" s="69"/>
      <c r="B43" s="69"/>
      <c r="C43" s="69"/>
    </row>
    <row r="44" spans="1:3" ht="24" customHeight="1">
      <c r="A44" s="69"/>
      <c r="B44" s="69"/>
      <c r="C44" s="69"/>
    </row>
    <row r="45" spans="1:11" ht="24" customHeight="1">
      <c r="A45" s="139" t="s">
        <v>119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ht="24" customHeight="1">
      <c r="A46" s="230" t="s">
        <v>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</row>
    <row r="47" spans="1:11" ht="24" customHeight="1">
      <c r="A47" s="70" t="s">
        <v>150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24" customHeight="1">
      <c r="A48" s="171" t="s">
        <v>216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24" customHeight="1">
      <c r="A49" s="70" t="s">
        <v>169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24" customHeight="1">
      <c r="A50" s="70" t="s">
        <v>144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24" customHeight="1">
      <c r="A51" s="55"/>
      <c r="B51" s="55"/>
      <c r="C51" s="55"/>
      <c r="K51" s="65" t="s">
        <v>109</v>
      </c>
    </row>
    <row r="52" spans="1:11" ht="24" customHeight="1">
      <c r="A52" s="55"/>
      <c r="B52" s="55"/>
      <c r="C52" s="55"/>
      <c r="E52" s="246" t="s">
        <v>61</v>
      </c>
      <c r="F52" s="246"/>
      <c r="G52" s="246"/>
      <c r="I52" s="56"/>
      <c r="J52" s="56" t="s">
        <v>60</v>
      </c>
      <c r="K52" s="66"/>
    </row>
    <row r="53" spans="1:11" ht="24" customHeight="1">
      <c r="A53" s="1"/>
      <c r="B53" s="1"/>
      <c r="C53" s="1"/>
      <c r="D53" s="53"/>
      <c r="E53" s="51" t="s">
        <v>170</v>
      </c>
      <c r="F53" s="52"/>
      <c r="G53" s="51" t="s">
        <v>157</v>
      </c>
      <c r="H53" s="53"/>
      <c r="I53" s="51" t="s">
        <v>170</v>
      </c>
      <c r="J53" s="52"/>
      <c r="K53" s="51" t="s">
        <v>157</v>
      </c>
    </row>
    <row r="54" spans="2:11" ht="24" customHeight="1">
      <c r="B54" s="177"/>
      <c r="C54" s="177"/>
      <c r="D54" s="177"/>
      <c r="E54" s="178"/>
      <c r="F54" s="179"/>
      <c r="G54" s="224" t="s">
        <v>213</v>
      </c>
      <c r="H54" s="19"/>
      <c r="I54" s="17"/>
      <c r="J54" s="18"/>
      <c r="K54" s="224" t="s">
        <v>213</v>
      </c>
    </row>
    <row r="55" spans="1:11" ht="24" customHeight="1">
      <c r="A55" s="176" t="s">
        <v>180</v>
      </c>
      <c r="B55" s="177"/>
      <c r="C55" s="177"/>
      <c r="D55" s="177"/>
      <c r="E55" s="178"/>
      <c r="F55" s="179"/>
      <c r="G55" s="224"/>
      <c r="H55" s="19"/>
      <c r="I55" s="17"/>
      <c r="J55" s="18"/>
      <c r="K55" s="224"/>
    </row>
    <row r="56" spans="1:11" ht="24" customHeight="1">
      <c r="A56" s="180" t="s">
        <v>181</v>
      </c>
      <c r="B56" s="177"/>
      <c r="E56" s="64">
        <v>105437706.56000018</v>
      </c>
      <c r="G56" s="186">
        <v>68156189.66</v>
      </c>
      <c r="H56" s="186"/>
      <c r="I56" s="186">
        <v>105437706.56000018</v>
      </c>
      <c r="J56" s="186"/>
      <c r="K56" s="186">
        <v>68156189.66</v>
      </c>
    </row>
    <row r="57" spans="1:11" ht="24" customHeight="1">
      <c r="A57" s="180" t="s">
        <v>225</v>
      </c>
      <c r="B57" s="177"/>
      <c r="E57" s="64">
        <f>7389580.91+2060431.01</f>
        <v>9450011.92</v>
      </c>
      <c r="G57" s="186">
        <v>76855660.09</v>
      </c>
      <c r="H57" s="186"/>
      <c r="I57" s="186">
        <v>0</v>
      </c>
      <c r="J57" s="186"/>
      <c r="K57" s="186">
        <v>0</v>
      </c>
    </row>
    <row r="58" spans="1:11" ht="24" customHeight="1" thickBot="1">
      <c r="A58" s="176" t="s">
        <v>214</v>
      </c>
      <c r="B58" s="177"/>
      <c r="E58" s="60">
        <f>SUM(E56:E57)</f>
        <v>114887718.48000018</v>
      </c>
      <c r="G58" s="60">
        <f>SUM(G56:G57)</f>
        <v>145011849.75</v>
      </c>
      <c r="H58" s="4"/>
      <c r="I58" s="60">
        <f>SUM(I56:I57)</f>
        <v>105437706.56000018</v>
      </c>
      <c r="J58" s="4"/>
      <c r="K58" s="60">
        <f>SUM(K56:K57)</f>
        <v>68156189.66</v>
      </c>
    </row>
    <row r="59" spans="1:11" ht="24" customHeight="1" thickTop="1">
      <c r="A59" s="176"/>
      <c r="B59" s="177"/>
      <c r="E59" s="187"/>
      <c r="G59" s="187"/>
      <c r="H59" s="188"/>
      <c r="I59" s="187"/>
      <c r="J59" s="187"/>
      <c r="K59" s="187"/>
    </row>
    <row r="60" spans="1:11" ht="24" customHeight="1" thickBot="1">
      <c r="A60" s="176" t="s">
        <v>182</v>
      </c>
      <c r="B60" s="177"/>
      <c r="E60" s="60">
        <f>E40+E58</f>
        <v>378871476.1900001</v>
      </c>
      <c r="G60" s="60">
        <f>G40+G58</f>
        <v>369478615.0499999</v>
      </c>
      <c r="H60" s="4"/>
      <c r="I60" s="60">
        <f>I40+I58</f>
        <v>190090401.79000008</v>
      </c>
      <c r="J60" s="4"/>
      <c r="K60" s="60">
        <f>K40+K58</f>
        <v>96078358.91</v>
      </c>
    </row>
    <row r="61" spans="1:11" ht="24" customHeight="1" thickTop="1">
      <c r="A61" s="176"/>
      <c r="B61" s="177"/>
      <c r="E61" s="183"/>
      <c r="G61" s="183"/>
      <c r="H61" s="176"/>
      <c r="I61" s="181"/>
      <c r="J61" s="182"/>
      <c r="K61" s="181"/>
    </row>
    <row r="62" spans="1:11" ht="24" customHeight="1">
      <c r="A62" s="176" t="s">
        <v>18</v>
      </c>
      <c r="B62" s="184"/>
      <c r="E62" s="2">
        <f>+E40/494034300</f>
        <v>0.5343429751942324</v>
      </c>
      <c r="G62" s="2">
        <f>+G40/494034300</f>
        <v>0.4543546172806218</v>
      </c>
      <c r="I62" s="2">
        <f>+I40/494034300</f>
        <v>0.1713498338678102</v>
      </c>
      <c r="K62" s="2">
        <f>+K40/494034300</f>
        <v>0.05651868554470812</v>
      </c>
    </row>
    <row r="63" spans="1:11" ht="24" customHeight="1">
      <c r="A63" s="176"/>
      <c r="B63" s="185"/>
      <c r="E63" s="183"/>
      <c r="G63" s="183"/>
      <c r="H63" s="185"/>
      <c r="I63" s="181"/>
      <c r="J63" s="182"/>
      <c r="K63" s="183"/>
    </row>
    <row r="64" spans="1:7" ht="24" customHeight="1">
      <c r="A64" s="176"/>
      <c r="B64" s="185"/>
      <c r="C64" s="183"/>
      <c r="D64" s="185"/>
      <c r="E64" s="181"/>
      <c r="F64" s="182"/>
      <c r="G64" s="183"/>
    </row>
    <row r="65" spans="1:7" ht="24" customHeight="1">
      <c r="A65" s="176"/>
      <c r="B65" s="185"/>
      <c r="C65" s="183"/>
      <c r="D65" s="185"/>
      <c r="E65" s="181"/>
      <c r="F65" s="182"/>
      <c r="G65" s="183"/>
    </row>
    <row r="66" spans="1:7" ht="24" customHeight="1">
      <c r="A66" s="176"/>
      <c r="B66" s="185"/>
      <c r="C66" s="183"/>
      <c r="D66" s="185"/>
      <c r="E66" s="181"/>
      <c r="F66" s="182"/>
      <c r="G66" s="183"/>
    </row>
    <row r="67" spans="1:7" ht="24" customHeight="1">
      <c r="A67" s="176"/>
      <c r="B67" s="185"/>
      <c r="C67" s="183"/>
      <c r="D67" s="185"/>
      <c r="E67" s="181"/>
      <c r="F67" s="182"/>
      <c r="G67" s="183"/>
    </row>
    <row r="68" spans="1:4" ht="24" customHeight="1">
      <c r="A68" s="2" t="s">
        <v>5</v>
      </c>
      <c r="B68" s="2"/>
      <c r="C68" s="2"/>
      <c r="D68" s="68"/>
    </row>
    <row r="69" spans="1:3" ht="24" customHeight="1">
      <c r="A69" s="69"/>
      <c r="B69" s="69"/>
      <c r="C69" s="69"/>
    </row>
    <row r="70" spans="1:3" ht="24" customHeight="1">
      <c r="A70" s="69"/>
      <c r="B70" s="69"/>
      <c r="C70" s="69"/>
    </row>
    <row r="71" spans="1:3" ht="24" customHeight="1">
      <c r="A71" s="69"/>
      <c r="B71" s="69"/>
      <c r="C71" s="69"/>
    </row>
    <row r="72" spans="1:11" ht="24" customHeight="1">
      <c r="A72" s="139" t="s">
        <v>119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</row>
  </sheetData>
  <sheetProtection/>
  <mergeCells count="2">
    <mergeCell ref="E6:G6"/>
    <mergeCell ref="E52:G52"/>
  </mergeCells>
  <printOptions horizontalCentered="1"/>
  <pageMargins left="0.5118110236220472" right="0.03937007874015748" top="0.54" bottom="0.44" header="0.1968503937007874" footer="0.1968503937007874"/>
  <pageSetup horizontalDpi="600" verticalDpi="600" orientation="portrait" paperSize="9" scale="75" r:id="rId1"/>
  <headerFooter alignWithMargins="0">
    <oddFooter>&amp;R&amp;"AngsanaUPC,ตัวปกติ"&amp;10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SheetLayoutView="70" zoomScalePageLayoutView="0" workbookViewId="0" topLeftCell="A1">
      <selection activeCell="B20" sqref="B20"/>
    </sheetView>
  </sheetViews>
  <sheetFormatPr defaultColWidth="9.140625" defaultRowHeight="24.75" customHeight="1"/>
  <cols>
    <col min="1" max="1" width="58.28125" style="148" customWidth="1"/>
    <col min="2" max="2" width="9.28125" style="148" bestFit="1" customWidth="1"/>
    <col min="3" max="3" width="15.57421875" style="73" customWidth="1"/>
    <col min="4" max="4" width="0.9921875" style="73" customWidth="1"/>
    <col min="5" max="5" width="16.57421875" style="73" customWidth="1"/>
    <col min="6" max="6" width="0.85546875" style="73" customWidth="1"/>
    <col min="7" max="7" width="15.57421875" style="73" customWidth="1"/>
    <col min="8" max="8" width="2.00390625" style="73" customWidth="1"/>
    <col min="9" max="9" width="13.8515625" style="73" customWidth="1"/>
    <col min="10" max="10" width="0.85546875" style="73" customWidth="1"/>
    <col min="11" max="11" width="15.140625" style="73" customWidth="1"/>
    <col min="12" max="12" width="0.85546875" style="73" customWidth="1"/>
    <col min="13" max="13" width="16.57421875" style="73" customWidth="1"/>
    <col min="14" max="14" width="1.1484375" style="81" customWidth="1"/>
    <col min="15" max="15" width="17.00390625" style="73" customWidth="1"/>
    <col min="16" max="16" width="0.85546875" style="73" customWidth="1"/>
    <col min="17" max="17" width="17.8515625" style="73" customWidth="1"/>
    <col min="18" max="18" width="1.8515625" style="73" customWidth="1"/>
    <col min="19" max="19" width="18.00390625" style="73" customWidth="1"/>
    <col min="20" max="20" width="0.9921875" style="73" customWidth="1"/>
    <col min="21" max="16384" width="9.140625" style="73" customWidth="1"/>
  </cols>
  <sheetData>
    <row r="1" spans="1:20" s="71" customFormat="1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43"/>
      <c r="O1" s="70"/>
      <c r="P1" s="70"/>
      <c r="Q1" s="70"/>
      <c r="R1" s="70"/>
      <c r="S1" s="70"/>
      <c r="T1" s="70"/>
    </row>
    <row r="2" spans="1:20" ht="25.5" customHeight="1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43"/>
      <c r="O2" s="70"/>
      <c r="P2" s="70"/>
      <c r="Q2" s="70"/>
      <c r="R2" s="70"/>
      <c r="S2" s="70"/>
      <c r="T2" s="72"/>
    </row>
    <row r="3" spans="1:20" s="71" customFormat="1" ht="25.5" customHeight="1">
      <c r="A3" s="70" t="s">
        <v>169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43"/>
      <c r="O3" s="70"/>
      <c r="P3" s="70"/>
      <c r="Q3" s="70"/>
      <c r="R3" s="70"/>
      <c r="S3" s="70"/>
      <c r="T3" s="74"/>
    </row>
    <row r="4" spans="1:20" s="75" customFormat="1" ht="25.5" customHeight="1">
      <c r="A4" s="70" t="s">
        <v>143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43"/>
      <c r="O4" s="70"/>
      <c r="P4" s="70"/>
      <c r="Q4" s="70"/>
      <c r="R4" s="70"/>
      <c r="S4" s="70"/>
      <c r="T4" s="74"/>
    </row>
    <row r="5" spans="1:20" s="75" customFormat="1" ht="12.75" customHeight="1">
      <c r="A5" s="145"/>
      <c r="B5" s="14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189"/>
      <c r="O5" s="180"/>
      <c r="P5" s="76"/>
      <c r="Q5" s="76"/>
      <c r="R5" s="76"/>
      <c r="S5" s="76"/>
      <c r="T5" s="74"/>
    </row>
    <row r="6" spans="1:20" ht="25.5" customHeight="1">
      <c r="A6" s="146"/>
      <c r="B6" s="146"/>
      <c r="C6" s="196" t="s">
        <v>61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196"/>
      <c r="P6" s="196"/>
      <c r="Q6" s="196"/>
      <c r="R6" s="196"/>
      <c r="S6" s="78" t="s">
        <v>155</v>
      </c>
      <c r="T6" s="79"/>
    </row>
    <row r="7" spans="1:20" ht="25.5" customHeight="1">
      <c r="A7" s="146"/>
      <c r="B7" s="146"/>
      <c r="C7" s="190"/>
      <c r="D7" s="190"/>
      <c r="E7" s="190"/>
      <c r="F7" s="190"/>
      <c r="G7" s="190"/>
      <c r="H7" s="190"/>
      <c r="I7" s="191" t="s">
        <v>22</v>
      </c>
      <c r="J7" s="191"/>
      <c r="K7" s="191"/>
      <c r="L7" s="191"/>
      <c r="M7" s="191"/>
      <c r="N7" s="190"/>
      <c r="O7" s="191" t="s">
        <v>189</v>
      </c>
      <c r="P7" s="191"/>
      <c r="Q7" s="191"/>
      <c r="R7" s="191"/>
      <c r="S7" s="192"/>
      <c r="T7" s="79"/>
    </row>
    <row r="8" spans="1:20" ht="25.5" customHeight="1">
      <c r="A8" s="146"/>
      <c r="B8" s="146"/>
      <c r="C8" s="80" t="s">
        <v>20</v>
      </c>
      <c r="D8" s="80"/>
      <c r="E8" s="80" t="s">
        <v>153</v>
      </c>
      <c r="F8" s="80"/>
      <c r="G8" s="80" t="s">
        <v>208</v>
      </c>
      <c r="H8" s="80"/>
      <c r="I8" s="191" t="s">
        <v>185</v>
      </c>
      <c r="J8" s="191"/>
      <c r="K8" s="191"/>
      <c r="L8" s="80"/>
      <c r="M8" s="80"/>
      <c r="N8" s="80"/>
      <c r="O8" s="80" t="s">
        <v>191</v>
      </c>
      <c r="P8" s="80"/>
      <c r="Q8" s="236" t="s">
        <v>227</v>
      </c>
      <c r="R8" s="232"/>
      <c r="S8" s="79" t="s">
        <v>23</v>
      </c>
      <c r="T8" s="79"/>
    </row>
    <row r="9" spans="1:20" ht="25.5" customHeight="1">
      <c r="A9" s="146"/>
      <c r="B9" s="222" t="s">
        <v>2</v>
      </c>
      <c r="C9" s="80" t="s">
        <v>151</v>
      </c>
      <c r="D9" s="80"/>
      <c r="E9" s="80" t="s">
        <v>154</v>
      </c>
      <c r="F9" s="80"/>
      <c r="G9" s="80" t="s">
        <v>209</v>
      </c>
      <c r="H9" s="80"/>
      <c r="I9" s="193" t="s">
        <v>186</v>
      </c>
      <c r="J9" s="80"/>
      <c r="K9" s="193" t="s">
        <v>21</v>
      </c>
      <c r="L9" s="80"/>
      <c r="M9" s="80" t="s">
        <v>188</v>
      </c>
      <c r="N9" s="80"/>
      <c r="O9" s="80" t="s">
        <v>193</v>
      </c>
      <c r="P9" s="80"/>
      <c r="Q9" s="236" t="s">
        <v>228</v>
      </c>
      <c r="R9" s="80"/>
      <c r="S9" s="79"/>
      <c r="T9" s="79"/>
    </row>
    <row r="10" spans="1:20" ht="25.5" customHeight="1">
      <c r="A10" s="146"/>
      <c r="B10" s="146"/>
      <c r="C10" s="77" t="s">
        <v>152</v>
      </c>
      <c r="D10" s="77"/>
      <c r="E10" s="77" t="s">
        <v>24</v>
      </c>
      <c r="F10" s="77"/>
      <c r="G10" s="77" t="s">
        <v>210</v>
      </c>
      <c r="H10" s="77"/>
      <c r="I10" s="194" t="s">
        <v>187</v>
      </c>
      <c r="J10" s="77"/>
      <c r="K10" s="77"/>
      <c r="L10" s="77"/>
      <c r="M10" s="77" t="s">
        <v>190</v>
      </c>
      <c r="N10" s="77"/>
      <c r="O10" s="77" t="s">
        <v>192</v>
      </c>
      <c r="P10" s="77"/>
      <c r="Q10" s="235" t="s">
        <v>229</v>
      </c>
      <c r="R10" s="77"/>
      <c r="S10" s="78"/>
      <c r="T10" s="79"/>
    </row>
    <row r="11" spans="1:20" ht="25.5" customHeight="1">
      <c r="A11" s="147" t="s">
        <v>142</v>
      </c>
      <c r="B11" s="147"/>
      <c r="C11" s="64">
        <v>494034300</v>
      </c>
      <c r="D11" s="68"/>
      <c r="E11" s="4">
        <v>1041357580</v>
      </c>
      <c r="F11" s="68"/>
      <c r="G11" s="195">
        <v>6151888.73</v>
      </c>
      <c r="H11" s="68"/>
      <c r="I11" s="4">
        <v>80000000</v>
      </c>
      <c r="J11" s="3"/>
      <c r="K11" s="4">
        <v>280000000</v>
      </c>
      <c r="L11" s="3"/>
      <c r="M11" s="1">
        <v>8725562894.92</v>
      </c>
      <c r="N11" s="3"/>
      <c r="O11" s="195">
        <v>870513583.56</v>
      </c>
      <c r="P11" s="3"/>
      <c r="Q11" s="195">
        <f>931177661.45</f>
        <v>931177661.45</v>
      </c>
      <c r="R11" s="195"/>
      <c r="S11" s="1">
        <f>SUM(C11:R11)</f>
        <v>12428797908.66</v>
      </c>
      <c r="T11" s="1"/>
    </row>
    <row r="12" spans="1:20" ht="25.5" customHeight="1">
      <c r="A12" s="147" t="s">
        <v>183</v>
      </c>
      <c r="B12" s="147"/>
      <c r="C12" s="64"/>
      <c r="D12" s="68"/>
      <c r="E12" s="4"/>
      <c r="F12" s="68"/>
      <c r="G12" s="195"/>
      <c r="H12" s="68"/>
      <c r="I12" s="4"/>
      <c r="J12" s="3"/>
      <c r="K12" s="4"/>
      <c r="L12" s="3"/>
      <c r="M12" s="1"/>
      <c r="N12" s="3"/>
      <c r="O12" s="195"/>
      <c r="P12" s="3"/>
      <c r="Q12" s="195"/>
      <c r="R12" s="195"/>
      <c r="S12" s="1"/>
      <c r="T12" s="1"/>
    </row>
    <row r="13" spans="1:20" ht="25.5" customHeight="1">
      <c r="A13" s="147" t="s">
        <v>201</v>
      </c>
      <c r="B13" s="223"/>
      <c r="C13" s="64"/>
      <c r="D13" s="68"/>
      <c r="E13" s="4"/>
      <c r="F13" s="68"/>
      <c r="G13" s="195"/>
      <c r="H13" s="68"/>
      <c r="I13" s="4"/>
      <c r="J13" s="3"/>
      <c r="K13" s="4"/>
      <c r="L13" s="3"/>
      <c r="M13" s="212">
        <v>-25725247.26</v>
      </c>
      <c r="N13" s="3"/>
      <c r="O13" s="195"/>
      <c r="P13" s="3"/>
      <c r="Q13" s="195"/>
      <c r="R13" s="195"/>
      <c r="S13" s="212">
        <f>SUM(C13:R13)</f>
        <v>-25725247.26</v>
      </c>
      <c r="T13" s="1"/>
    </row>
    <row r="14" spans="1:20" ht="25.5" customHeight="1">
      <c r="A14" s="147" t="s">
        <v>195</v>
      </c>
      <c r="B14" s="147"/>
      <c r="C14" s="200">
        <f>SUM(C11:C13)</f>
        <v>494034300</v>
      </c>
      <c r="D14" s="68"/>
      <c r="E14" s="200">
        <f>SUM(E11:E13)</f>
        <v>1041357580</v>
      </c>
      <c r="F14" s="68"/>
      <c r="G14" s="200">
        <f>SUM(G11:G13)</f>
        <v>6151888.73</v>
      </c>
      <c r="H14" s="68"/>
      <c r="I14" s="200">
        <f>SUM(I11:I13)</f>
        <v>80000000</v>
      </c>
      <c r="J14" s="3"/>
      <c r="K14" s="200">
        <f>SUM(K11:K13)</f>
        <v>280000000</v>
      </c>
      <c r="L14" s="3"/>
      <c r="M14" s="200">
        <f>SUM(M11:M13)</f>
        <v>8699837647.66</v>
      </c>
      <c r="N14" s="68"/>
      <c r="O14" s="200">
        <f>SUM(O11:O13)</f>
        <v>870513583.56</v>
      </c>
      <c r="P14" s="3"/>
      <c r="Q14" s="200">
        <f>SUM(Q11:Q13)</f>
        <v>931177661.45</v>
      </c>
      <c r="R14" s="68"/>
      <c r="S14" s="200">
        <f>SUM(S11:S13)</f>
        <v>12403072661.4</v>
      </c>
      <c r="T14" s="1"/>
    </row>
    <row r="15" spans="1:20" ht="25.5" customHeight="1" hidden="1">
      <c r="A15" s="147" t="s">
        <v>198</v>
      </c>
      <c r="B15" s="147"/>
      <c r="C15" s="68"/>
      <c r="D15" s="68"/>
      <c r="E15" s="68"/>
      <c r="F15" s="68"/>
      <c r="G15" s="68"/>
      <c r="H15" s="68"/>
      <c r="I15" s="68"/>
      <c r="J15" s="3"/>
      <c r="K15" s="68"/>
      <c r="L15" s="3"/>
      <c r="M15" s="68"/>
      <c r="N15" s="68"/>
      <c r="O15" s="68"/>
      <c r="P15" s="3"/>
      <c r="Q15" s="68"/>
      <c r="R15" s="68"/>
      <c r="S15" s="68"/>
      <c r="T15" s="1"/>
    </row>
    <row r="16" spans="1:20" ht="25.5" customHeight="1">
      <c r="A16" s="147" t="s">
        <v>196</v>
      </c>
      <c r="B16" s="147"/>
      <c r="C16" s="64"/>
      <c r="D16" s="68"/>
      <c r="E16" s="64"/>
      <c r="F16" s="68"/>
      <c r="G16" s="64"/>
      <c r="H16" s="68"/>
      <c r="I16" s="64"/>
      <c r="J16" s="3"/>
      <c r="K16" s="64"/>
      <c r="L16" s="3"/>
      <c r="M16" s="64">
        <f>PL!G40</f>
        <v>224466765.2999999</v>
      </c>
      <c r="N16" s="68"/>
      <c r="O16" s="64">
        <f>PL!G56</f>
        <v>68156189.66</v>
      </c>
      <c r="P16" s="3"/>
      <c r="Q16" s="64">
        <f>PL!G57</f>
        <v>76855660.09</v>
      </c>
      <c r="R16" s="64"/>
      <c r="S16" s="212">
        <f>SUM(C16:R16)</f>
        <v>369478615.04999995</v>
      </c>
      <c r="T16" s="1"/>
    </row>
    <row r="17" spans="1:20" ht="25.5" customHeight="1" thickBot="1">
      <c r="A17" s="147" t="s">
        <v>205</v>
      </c>
      <c r="B17" s="147"/>
      <c r="C17" s="83">
        <f>SUM(C14:C16)</f>
        <v>494034300</v>
      </c>
      <c r="D17" s="68"/>
      <c r="E17" s="83">
        <f>SUM(E14:E16)</f>
        <v>1041357580</v>
      </c>
      <c r="F17" s="68"/>
      <c r="G17" s="83">
        <f>SUM(G14:G16)</f>
        <v>6151888.73</v>
      </c>
      <c r="H17" s="68"/>
      <c r="I17" s="83">
        <f>SUM(I14:I16)</f>
        <v>80000000</v>
      </c>
      <c r="J17" s="3"/>
      <c r="K17" s="83">
        <f>SUM(K14:K16)</f>
        <v>280000000</v>
      </c>
      <c r="L17" s="3"/>
      <c r="M17" s="83">
        <f>SUM(M14:M16)</f>
        <v>8924304412.96</v>
      </c>
      <c r="N17" s="68"/>
      <c r="O17" s="83">
        <f>SUM(O14:O16)</f>
        <v>938669773.2199999</v>
      </c>
      <c r="P17" s="3"/>
      <c r="Q17" s="83">
        <f>SUM(Q14:Q16)</f>
        <v>1008033321.5400001</v>
      </c>
      <c r="R17" s="68"/>
      <c r="S17" s="83">
        <f>SUM(S14:S16)</f>
        <v>12772551276.449999</v>
      </c>
      <c r="T17" s="68"/>
    </row>
    <row r="18" spans="1:20" ht="25.5" customHeight="1" thickTop="1">
      <c r="A18" s="147" t="s">
        <v>199</v>
      </c>
      <c r="B18" s="147"/>
      <c r="C18" s="68"/>
      <c r="D18" s="68"/>
      <c r="E18" s="68"/>
      <c r="F18" s="68"/>
      <c r="G18" s="68"/>
      <c r="H18" s="68"/>
      <c r="I18" s="68"/>
      <c r="J18" s="3"/>
      <c r="K18" s="68"/>
      <c r="L18" s="3"/>
      <c r="M18" s="212">
        <v>-98806860</v>
      </c>
      <c r="N18" s="68"/>
      <c r="O18" s="68"/>
      <c r="P18" s="3"/>
      <c r="Q18" s="68"/>
      <c r="R18" s="68"/>
      <c r="S18" s="212">
        <f>SUM(C18:R18)</f>
        <v>-98806860</v>
      </c>
      <c r="T18" s="68"/>
    </row>
    <row r="19" spans="1:20" ht="25.5" customHeight="1">
      <c r="A19" s="147" t="s">
        <v>197</v>
      </c>
      <c r="B19" s="147"/>
      <c r="C19" s="68"/>
      <c r="D19" s="68"/>
      <c r="E19" s="68"/>
      <c r="F19" s="68"/>
      <c r="G19" s="68"/>
      <c r="H19" s="68"/>
      <c r="I19" s="68"/>
      <c r="J19" s="3"/>
      <c r="K19" s="68"/>
      <c r="L19" s="3"/>
      <c r="M19" s="68">
        <v>758105155.45</v>
      </c>
      <c r="N19" s="68"/>
      <c r="O19" s="68">
        <v>170344974.6</v>
      </c>
      <c r="P19" s="3"/>
      <c r="Q19" s="68">
        <v>165639296.47</v>
      </c>
      <c r="R19" s="68"/>
      <c r="S19" s="212">
        <f>SUM(C19:R19)</f>
        <v>1094089426.52</v>
      </c>
      <c r="T19" s="68"/>
    </row>
    <row r="20" spans="1:20" ht="25.5" customHeight="1" thickBot="1">
      <c r="A20" s="147" t="s">
        <v>204</v>
      </c>
      <c r="B20" s="147"/>
      <c r="C20" s="83">
        <f>SUM(C17:C19)</f>
        <v>494034300</v>
      </c>
      <c r="D20" s="68"/>
      <c r="E20" s="83">
        <f>SUM(E17:E19)</f>
        <v>1041357580</v>
      </c>
      <c r="F20" s="68"/>
      <c r="G20" s="83">
        <f>SUM(G17:G19)</f>
        <v>6151888.73</v>
      </c>
      <c r="H20" s="68"/>
      <c r="I20" s="83">
        <f>SUM(I17:I19)</f>
        <v>80000000</v>
      </c>
      <c r="J20" s="3"/>
      <c r="K20" s="83">
        <f>SUM(K17:K19)</f>
        <v>280000000</v>
      </c>
      <c r="L20" s="3"/>
      <c r="M20" s="83">
        <f>SUM(M17:M19)</f>
        <v>9583602708.41</v>
      </c>
      <c r="N20" s="68"/>
      <c r="O20" s="83">
        <f>SUM(O17:O19)</f>
        <v>1109014747.82</v>
      </c>
      <c r="P20" s="3"/>
      <c r="Q20" s="83">
        <f>SUM(Q17:Q19)</f>
        <v>1173672618.01</v>
      </c>
      <c r="R20" s="68"/>
      <c r="S20" s="83">
        <f>SUM(S17:S19)</f>
        <v>13767833842.97</v>
      </c>
      <c r="T20" s="68"/>
    </row>
    <row r="21" spans="1:20" ht="25.5" customHeight="1" thickTop="1">
      <c r="A21" s="147"/>
      <c r="B21" s="147"/>
      <c r="C21" s="68"/>
      <c r="D21" s="68"/>
      <c r="E21" s="68"/>
      <c r="F21" s="68"/>
      <c r="G21" s="68"/>
      <c r="H21" s="68"/>
      <c r="I21" s="68"/>
      <c r="J21" s="3"/>
      <c r="K21" s="68"/>
      <c r="L21" s="3"/>
      <c r="M21" s="68"/>
      <c r="N21" s="68"/>
      <c r="O21" s="68"/>
      <c r="P21" s="3"/>
      <c r="Q21" s="68"/>
      <c r="R21" s="68"/>
      <c r="S21" s="68"/>
      <c r="T21" s="68"/>
    </row>
    <row r="22" spans="1:20" ht="25.5" customHeight="1">
      <c r="A22" s="147" t="s">
        <v>171</v>
      </c>
      <c r="B22" s="147"/>
      <c r="C22" s="64">
        <v>494034300</v>
      </c>
      <c r="D22" s="68"/>
      <c r="E22" s="4">
        <v>1041357580</v>
      </c>
      <c r="F22" s="68"/>
      <c r="G22" s="195">
        <v>6151888.73</v>
      </c>
      <c r="H22" s="68"/>
      <c r="I22" s="4">
        <v>80000000</v>
      </c>
      <c r="J22" s="3"/>
      <c r="K22" s="4">
        <v>280000000</v>
      </c>
      <c r="L22" s="3"/>
      <c r="M22" s="1">
        <v>9648498943.73</v>
      </c>
      <c r="N22" s="3"/>
      <c r="O22" s="195">
        <v>1109014747.82</v>
      </c>
      <c r="P22" s="3"/>
      <c r="Q22" s="195">
        <f>1173672618.01</f>
        <v>1173672618.01</v>
      </c>
      <c r="R22" s="195"/>
      <c r="S22" s="212">
        <f>SUM(C22:R22)</f>
        <v>13832730078.289999</v>
      </c>
      <c r="T22" s="1"/>
    </row>
    <row r="23" spans="1:20" ht="25.5" customHeight="1">
      <c r="A23" s="147" t="s">
        <v>183</v>
      </c>
      <c r="B23" s="147"/>
      <c r="C23" s="64"/>
      <c r="D23" s="68"/>
      <c r="E23" s="4"/>
      <c r="F23" s="68"/>
      <c r="G23" s="195"/>
      <c r="H23" s="68"/>
      <c r="I23" s="4"/>
      <c r="J23" s="3"/>
      <c r="K23" s="4"/>
      <c r="L23" s="3"/>
      <c r="M23" s="212"/>
      <c r="N23" s="3"/>
      <c r="O23" s="195"/>
      <c r="P23" s="3"/>
      <c r="Q23" s="195"/>
      <c r="R23" s="195"/>
      <c r="S23" s="212"/>
      <c r="T23" s="1"/>
    </row>
    <row r="24" spans="1:20" ht="25.5" customHeight="1">
      <c r="A24" s="147" t="s">
        <v>201</v>
      </c>
      <c r="B24" s="223">
        <v>4.2</v>
      </c>
      <c r="C24" s="64"/>
      <c r="D24" s="68"/>
      <c r="E24" s="4"/>
      <c r="F24" s="68"/>
      <c r="G24" s="195"/>
      <c r="H24" s="68"/>
      <c r="I24" s="4"/>
      <c r="J24" s="3"/>
      <c r="K24" s="4"/>
      <c r="L24" s="3"/>
      <c r="M24" s="217">
        <v>-64896235.32</v>
      </c>
      <c r="N24" s="3"/>
      <c r="O24" s="195"/>
      <c r="P24" s="3"/>
      <c r="Q24" s="195"/>
      <c r="R24" s="195"/>
      <c r="S24" s="212">
        <f>SUM(C24:R24)</f>
        <v>-64896235.32</v>
      </c>
      <c r="T24" s="1"/>
    </row>
    <row r="25" spans="1:20" ht="25.5" customHeight="1">
      <c r="A25" s="147" t="s">
        <v>222</v>
      </c>
      <c r="B25" s="147"/>
      <c r="C25" s="200">
        <f>SUM(C22:C24)</f>
        <v>494034300</v>
      </c>
      <c r="D25" s="68"/>
      <c r="E25" s="200">
        <f>SUM(E22:E24)</f>
        <v>1041357580</v>
      </c>
      <c r="F25" s="68"/>
      <c r="G25" s="200">
        <f>SUM(G22:G24)</f>
        <v>6151888.73</v>
      </c>
      <c r="H25" s="68"/>
      <c r="I25" s="200">
        <f>SUM(I22:I24)</f>
        <v>80000000</v>
      </c>
      <c r="J25" s="3"/>
      <c r="K25" s="200">
        <f>SUM(K22:K24)</f>
        <v>280000000</v>
      </c>
      <c r="L25" s="3"/>
      <c r="M25" s="200">
        <f>SUM(M22:M24)</f>
        <v>9583602708.41</v>
      </c>
      <c r="N25" s="68"/>
      <c r="O25" s="200">
        <f>SUM(O22:O24)</f>
        <v>1109014747.82</v>
      </c>
      <c r="P25" s="3"/>
      <c r="Q25" s="200">
        <f>SUM(Q22:Q24)</f>
        <v>1173672618.01</v>
      </c>
      <c r="R25" s="68"/>
      <c r="S25" s="200">
        <f>SUM(S22:S24)</f>
        <v>13767833842.97</v>
      </c>
      <c r="T25" s="1"/>
    </row>
    <row r="26" spans="1:20" ht="25.5" customHeight="1">
      <c r="A26" s="147" t="s">
        <v>183</v>
      </c>
      <c r="B26" s="147"/>
      <c r="C26" s="68"/>
      <c r="D26" s="68"/>
      <c r="E26" s="68"/>
      <c r="F26" s="68"/>
      <c r="G26" s="68"/>
      <c r="H26" s="68"/>
      <c r="I26" s="68"/>
      <c r="J26" s="3"/>
      <c r="K26" s="68"/>
      <c r="L26" s="3"/>
      <c r="M26" s="68"/>
      <c r="N26" s="68"/>
      <c r="O26" s="68"/>
      <c r="P26" s="3"/>
      <c r="Q26" s="68"/>
      <c r="R26" s="68"/>
      <c r="S26" s="68"/>
      <c r="T26" s="1"/>
    </row>
    <row r="27" spans="1:20" ht="25.5" customHeight="1">
      <c r="A27" s="147" t="s">
        <v>200</v>
      </c>
      <c r="B27" s="223">
        <v>4.1</v>
      </c>
      <c r="C27" s="68"/>
      <c r="D27" s="68"/>
      <c r="E27" s="68"/>
      <c r="F27" s="68"/>
      <c r="G27" s="68"/>
      <c r="H27" s="68"/>
      <c r="I27" s="68"/>
      <c r="J27" s="3"/>
      <c r="K27" s="68"/>
      <c r="L27" s="3"/>
      <c r="M27" s="217">
        <v>-66482393.86</v>
      </c>
      <c r="N27" s="68"/>
      <c r="O27" s="68"/>
      <c r="P27" s="3"/>
      <c r="Q27" s="68"/>
      <c r="R27" s="68"/>
      <c r="S27" s="212">
        <f>SUM(C27:R27)</f>
        <v>-66482393.86</v>
      </c>
      <c r="T27" s="1"/>
    </row>
    <row r="28" spans="1:20" ht="25.5" customHeight="1">
      <c r="A28" s="147" t="s">
        <v>217</v>
      </c>
      <c r="B28" s="223">
        <v>4.1</v>
      </c>
      <c r="C28" s="68"/>
      <c r="D28" s="68"/>
      <c r="E28" s="68"/>
      <c r="F28" s="68"/>
      <c r="G28" s="68"/>
      <c r="H28" s="68"/>
      <c r="I28" s="68"/>
      <c r="J28" s="3"/>
      <c r="K28" s="68"/>
      <c r="L28" s="3"/>
      <c r="M28" s="212">
        <f>-328734879.97-28708735.13</f>
        <v>-357443615.1</v>
      </c>
      <c r="N28" s="68"/>
      <c r="O28" s="68"/>
      <c r="P28" s="3"/>
      <c r="Q28" s="68"/>
      <c r="R28" s="68"/>
      <c r="S28" s="212">
        <f>SUM(C28:R28)</f>
        <v>-357443615.1</v>
      </c>
      <c r="T28" s="1"/>
    </row>
    <row r="29" spans="1:20" ht="25.5" customHeight="1">
      <c r="A29" s="147" t="s">
        <v>184</v>
      </c>
      <c r="B29" s="147"/>
      <c r="C29" s="200">
        <f>SUM(C25:C28)</f>
        <v>494034300</v>
      </c>
      <c r="D29" s="68"/>
      <c r="E29" s="200">
        <f>SUM(E25:E28)</f>
        <v>1041357580</v>
      </c>
      <c r="F29" s="68"/>
      <c r="G29" s="200">
        <f>SUM(G25:G28)</f>
        <v>6151888.73</v>
      </c>
      <c r="H29" s="68"/>
      <c r="I29" s="200">
        <f>SUM(I25:I28)</f>
        <v>80000000</v>
      </c>
      <c r="J29" s="3"/>
      <c r="K29" s="200">
        <f>SUM(K25:K28)</f>
        <v>280000000</v>
      </c>
      <c r="L29" s="3"/>
      <c r="M29" s="200">
        <f>SUM(M25:M28)</f>
        <v>9159676699.449999</v>
      </c>
      <c r="N29" s="68"/>
      <c r="O29" s="200">
        <f>SUM(O25:O28)</f>
        <v>1109014747.82</v>
      </c>
      <c r="P29" s="3"/>
      <c r="Q29" s="200">
        <f>SUM(Q25:Q28)</f>
        <v>1173672618.01</v>
      </c>
      <c r="R29" s="68"/>
      <c r="S29" s="200">
        <f>SUM(S25:S28)</f>
        <v>13343907834.009998</v>
      </c>
      <c r="T29" s="1"/>
    </row>
    <row r="30" spans="1:20" ht="25.5" customHeight="1">
      <c r="A30" s="147" t="s">
        <v>196</v>
      </c>
      <c r="B30" s="147"/>
      <c r="C30" s="64"/>
      <c r="D30" s="68"/>
      <c r="E30" s="64"/>
      <c r="F30" s="68"/>
      <c r="G30" s="64"/>
      <c r="H30" s="68"/>
      <c r="I30" s="64"/>
      <c r="J30" s="3"/>
      <c r="K30" s="64"/>
      <c r="L30" s="3"/>
      <c r="M30" s="64">
        <f>PL!E40</f>
        <v>263983757.70999992</v>
      </c>
      <c r="N30" s="68"/>
      <c r="O30" s="64">
        <f>PL!E56</f>
        <v>105437706.56000018</v>
      </c>
      <c r="P30" s="3"/>
      <c r="Q30" s="64">
        <f>7389580.91+2060431.01</f>
        <v>9450011.92</v>
      </c>
      <c r="R30" s="64"/>
      <c r="S30" s="212">
        <f>SUM(C30:R30)</f>
        <v>378871476.1900001</v>
      </c>
      <c r="T30" s="1"/>
    </row>
    <row r="31" spans="1:20" ht="25.5" customHeight="1" thickBot="1">
      <c r="A31" s="147" t="s">
        <v>172</v>
      </c>
      <c r="B31" s="147"/>
      <c r="C31" s="83">
        <f>SUM(C29:C30)</f>
        <v>494034300</v>
      </c>
      <c r="D31" s="68"/>
      <c r="E31" s="83">
        <f>SUM(E29:E30)</f>
        <v>1041357580</v>
      </c>
      <c r="F31" s="68"/>
      <c r="G31" s="83">
        <f>SUM(G29:G30)</f>
        <v>6151888.73</v>
      </c>
      <c r="H31" s="68"/>
      <c r="I31" s="83">
        <f>SUM(I29:I30)</f>
        <v>80000000</v>
      </c>
      <c r="J31" s="3"/>
      <c r="K31" s="83">
        <f>SUM(K29:K30)</f>
        <v>280000000</v>
      </c>
      <c r="L31" s="3"/>
      <c r="M31" s="83">
        <f>SUM(M29:M30)</f>
        <v>9423660457.159998</v>
      </c>
      <c r="N31" s="68"/>
      <c r="O31" s="83">
        <f>SUM(O29:O30)</f>
        <v>1214452454.38</v>
      </c>
      <c r="P31" s="3"/>
      <c r="Q31" s="83">
        <f>SUM(Q29:Q30)</f>
        <v>1183122629.93</v>
      </c>
      <c r="R31" s="68"/>
      <c r="S31" s="83">
        <f>SUM(S29:S30)</f>
        <v>13722779310.199999</v>
      </c>
      <c r="T31" s="68"/>
    </row>
    <row r="32" spans="1:20" ht="14.25" customHeight="1" thickTop="1">
      <c r="A32" s="147"/>
      <c r="B32" s="147"/>
      <c r="C32" s="68"/>
      <c r="D32" s="68"/>
      <c r="E32" s="68"/>
      <c r="F32" s="68"/>
      <c r="G32" s="68"/>
      <c r="H32" s="68"/>
      <c r="I32" s="68"/>
      <c r="J32" s="3"/>
      <c r="K32" s="68"/>
      <c r="L32" s="3"/>
      <c r="M32" s="68"/>
      <c r="N32" s="68"/>
      <c r="O32" s="68"/>
      <c r="P32" s="3"/>
      <c r="Q32" s="68"/>
      <c r="R32" s="68"/>
      <c r="S32" s="68"/>
      <c r="T32" s="68"/>
    </row>
    <row r="33" spans="1:20" ht="25.5" customHeight="1">
      <c r="A33" s="147" t="s">
        <v>5</v>
      </c>
      <c r="B33" s="147"/>
      <c r="C33" s="68"/>
      <c r="D33" s="68"/>
      <c r="E33" s="68"/>
      <c r="F33" s="68"/>
      <c r="G33" s="68"/>
      <c r="H33" s="68"/>
      <c r="I33" s="68"/>
      <c r="J33" s="3"/>
      <c r="K33" s="68"/>
      <c r="L33" s="3"/>
      <c r="M33" s="68"/>
      <c r="N33" s="68"/>
      <c r="O33" s="68"/>
      <c r="P33" s="3"/>
      <c r="Q33" s="68"/>
      <c r="R33" s="68"/>
      <c r="S33" s="68"/>
      <c r="T33" s="68"/>
    </row>
    <row r="34" spans="1:20" ht="19.5" customHeight="1">
      <c r="A34" s="147"/>
      <c r="B34" s="147"/>
      <c r="C34" s="68"/>
      <c r="D34" s="68"/>
      <c r="E34" s="68"/>
      <c r="F34" s="68"/>
      <c r="G34" s="68"/>
      <c r="H34" s="68"/>
      <c r="I34" s="68"/>
      <c r="J34" s="3"/>
      <c r="K34" s="68"/>
      <c r="L34" s="3"/>
      <c r="M34" s="68"/>
      <c r="N34" s="68"/>
      <c r="O34" s="68"/>
      <c r="P34" s="3"/>
      <c r="Q34" s="68"/>
      <c r="R34" s="68"/>
      <c r="S34" s="68"/>
      <c r="T34" s="68"/>
    </row>
    <row r="35" spans="1:20" ht="25.5" customHeight="1">
      <c r="A35" s="146" t="s">
        <v>119</v>
      </c>
      <c r="B35" s="146"/>
      <c r="C35" s="142"/>
      <c r="D35" s="142"/>
      <c r="E35" s="142"/>
      <c r="F35" s="139"/>
      <c r="G35" s="139"/>
      <c r="H35" s="139"/>
      <c r="I35" s="144"/>
      <c r="J35" s="143"/>
      <c r="K35" s="144"/>
      <c r="L35" s="143"/>
      <c r="M35" s="144"/>
      <c r="N35" s="144"/>
      <c r="O35" s="139"/>
      <c r="P35" s="139"/>
      <c r="Q35" s="139"/>
      <c r="R35" s="139"/>
      <c r="S35" s="144"/>
      <c r="T35" s="68"/>
    </row>
    <row r="36" spans="1:20" ht="16.5" customHeight="1">
      <c r="A36" s="147"/>
      <c r="B36" s="147"/>
      <c r="C36" s="4"/>
      <c r="D36" s="4"/>
      <c r="E36" s="4"/>
      <c r="F36" s="3"/>
      <c r="G36" s="3"/>
      <c r="H36" s="3"/>
      <c r="J36" s="81"/>
      <c r="O36" s="4"/>
      <c r="S36" s="82"/>
      <c r="T36" s="82"/>
    </row>
    <row r="37" spans="1:2" ht="24.75" customHeight="1">
      <c r="A37" s="247"/>
      <c r="B37" s="247"/>
    </row>
    <row r="38" spans="1:2" ht="24.75" customHeight="1">
      <c r="A38" s="147"/>
      <c r="B38" s="147"/>
    </row>
    <row r="39" spans="1:2" ht="24.75" customHeight="1">
      <c r="A39" s="149"/>
      <c r="B39" s="149"/>
    </row>
  </sheetData>
  <sheetProtection/>
  <mergeCells count="1">
    <mergeCell ref="A37:B37"/>
  </mergeCells>
  <printOptions/>
  <pageMargins left="0.64" right="0.1968503937007874" top="0.6299212598425197" bottom="0.15748031496062992" header="0.2362204724409449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90" zoomScaleNormal="90" zoomScalePageLayoutView="0" workbookViewId="0" topLeftCell="A1">
      <selection activeCell="A10" sqref="A10"/>
    </sheetView>
  </sheetViews>
  <sheetFormatPr defaultColWidth="9.140625" defaultRowHeight="24.75" customHeight="1"/>
  <cols>
    <col min="1" max="1" width="58.7109375" style="84" customWidth="1"/>
    <col min="2" max="2" width="9.00390625" style="84" bestFit="1" customWidth="1"/>
    <col min="3" max="3" width="16.7109375" style="84" customWidth="1"/>
    <col min="4" max="4" width="0.85546875" style="84" customWidth="1"/>
    <col min="5" max="5" width="16.7109375" style="84" customWidth="1"/>
    <col min="6" max="6" width="0.85546875" style="84" customWidth="1"/>
    <col min="7" max="7" width="16.7109375" style="84" customWidth="1"/>
    <col min="8" max="8" width="0.85546875" style="84" customWidth="1"/>
    <col min="9" max="9" width="16.7109375" style="84" customWidth="1"/>
    <col min="10" max="10" width="0.85546875" style="84" customWidth="1"/>
    <col min="11" max="11" width="16.7109375" style="84" customWidth="1"/>
    <col min="12" max="12" width="0.85546875" style="84" customWidth="1"/>
    <col min="13" max="13" width="16.421875" style="84" customWidth="1"/>
    <col min="14" max="14" width="0.85546875" style="84" customWidth="1"/>
    <col min="15" max="15" width="17.57421875" style="84" customWidth="1"/>
    <col min="16" max="16" width="0.85546875" style="84" customWidth="1"/>
    <col min="17" max="17" width="16.57421875" style="84" bestFit="1" customWidth="1"/>
    <col min="18" max="16384" width="9.140625" style="84" customWidth="1"/>
  </cols>
  <sheetData>
    <row r="1" spans="1:15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43"/>
      <c r="M1" s="70"/>
      <c r="N1" s="70"/>
      <c r="O1" s="70"/>
    </row>
    <row r="2" spans="1:15" ht="24" customHeight="1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43"/>
      <c r="M2" s="70"/>
      <c r="N2" s="70"/>
      <c r="O2" s="70"/>
    </row>
    <row r="3" spans="1:15" ht="24" customHeight="1">
      <c r="A3" s="70" t="s">
        <v>169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43"/>
      <c r="M3" s="70"/>
      <c r="N3" s="70"/>
      <c r="O3" s="70"/>
    </row>
    <row r="4" spans="1:15" ht="24" customHeight="1">
      <c r="A4" s="70" t="s">
        <v>144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143"/>
      <c r="M4" s="70"/>
      <c r="N4" s="70"/>
      <c r="O4" s="70"/>
    </row>
    <row r="5" spans="1:15" ht="23.25">
      <c r="A5" s="145"/>
      <c r="B5" s="145"/>
      <c r="C5" s="76"/>
      <c r="D5" s="76"/>
      <c r="E5" s="76"/>
      <c r="F5" s="76"/>
      <c r="G5" s="76"/>
      <c r="H5" s="76"/>
      <c r="I5" s="76"/>
      <c r="J5" s="76"/>
      <c r="K5" s="76"/>
      <c r="L5" s="189"/>
      <c r="M5" s="180"/>
      <c r="N5" s="76"/>
      <c r="O5" s="76"/>
    </row>
    <row r="6" spans="1:15" ht="24" customHeight="1">
      <c r="A6" s="146"/>
      <c r="B6" s="146"/>
      <c r="C6" s="196" t="s">
        <v>60</v>
      </c>
      <c r="D6" s="196"/>
      <c r="E6" s="196"/>
      <c r="F6" s="196"/>
      <c r="G6" s="196"/>
      <c r="H6" s="196"/>
      <c r="I6" s="196"/>
      <c r="J6" s="196"/>
      <c r="K6" s="196"/>
      <c r="L6" s="197"/>
      <c r="M6" s="196"/>
      <c r="N6" s="196"/>
      <c r="O6" s="196" t="s">
        <v>155</v>
      </c>
    </row>
    <row r="7" spans="1:15" ht="24" customHeight="1">
      <c r="A7" s="86"/>
      <c r="B7" s="85"/>
      <c r="C7" s="190"/>
      <c r="D7" s="190"/>
      <c r="E7" s="190"/>
      <c r="F7" s="198"/>
      <c r="G7" s="232"/>
      <c r="H7" s="232"/>
      <c r="I7" s="232"/>
      <c r="J7" s="232"/>
      <c r="K7" s="232"/>
      <c r="L7" s="198"/>
      <c r="M7" s="233" t="s">
        <v>223</v>
      </c>
      <c r="N7" s="198"/>
      <c r="O7" s="199"/>
    </row>
    <row r="8" spans="1:15" ht="24" customHeight="1">
      <c r="A8" s="86"/>
      <c r="B8" s="85"/>
      <c r="C8" s="80"/>
      <c r="D8" s="80"/>
      <c r="E8" s="80"/>
      <c r="F8" s="150"/>
      <c r="G8" s="196" t="s">
        <v>22</v>
      </c>
      <c r="H8" s="196"/>
      <c r="I8" s="196"/>
      <c r="J8" s="196"/>
      <c r="K8" s="196"/>
      <c r="L8" s="150"/>
      <c r="M8" s="234" t="s">
        <v>224</v>
      </c>
      <c r="N8" s="150"/>
      <c r="O8" s="151"/>
    </row>
    <row r="9" spans="1:15" ht="24" customHeight="1">
      <c r="A9" s="86"/>
      <c r="B9" s="85"/>
      <c r="C9" s="80" t="s">
        <v>20</v>
      </c>
      <c r="D9" s="80"/>
      <c r="E9" s="80" t="s">
        <v>153</v>
      </c>
      <c r="F9" s="150"/>
      <c r="G9" s="196" t="s">
        <v>185</v>
      </c>
      <c r="H9" s="196"/>
      <c r="I9" s="196"/>
      <c r="J9" s="80"/>
      <c r="K9" s="80"/>
      <c r="L9" s="150"/>
      <c r="M9" s="80" t="s">
        <v>191</v>
      </c>
      <c r="N9" s="150"/>
      <c r="O9" s="79" t="s">
        <v>23</v>
      </c>
    </row>
    <row r="10" spans="1:15" ht="24" customHeight="1">
      <c r="A10" s="86"/>
      <c r="B10" s="222" t="s">
        <v>2</v>
      </c>
      <c r="C10" s="80" t="s">
        <v>151</v>
      </c>
      <c r="D10" s="80"/>
      <c r="E10" s="80" t="s">
        <v>154</v>
      </c>
      <c r="F10" s="150"/>
      <c r="G10" s="193" t="s">
        <v>186</v>
      </c>
      <c r="H10" s="80"/>
      <c r="I10" s="193" t="s">
        <v>21</v>
      </c>
      <c r="J10" s="80"/>
      <c r="K10" s="80" t="s">
        <v>188</v>
      </c>
      <c r="L10" s="150"/>
      <c r="M10" s="80" t="s">
        <v>193</v>
      </c>
      <c r="N10" s="150"/>
      <c r="O10" s="151"/>
    </row>
    <row r="11" spans="1:15" ht="24" customHeight="1">
      <c r="A11" s="86"/>
      <c r="B11" s="85"/>
      <c r="C11" s="77" t="s">
        <v>152</v>
      </c>
      <c r="D11" s="77"/>
      <c r="E11" s="77" t="s">
        <v>24</v>
      </c>
      <c r="F11" s="152"/>
      <c r="G11" s="194" t="s">
        <v>187</v>
      </c>
      <c r="H11" s="77"/>
      <c r="I11" s="77"/>
      <c r="J11" s="77"/>
      <c r="K11" s="77" t="s">
        <v>190</v>
      </c>
      <c r="L11" s="152"/>
      <c r="M11" s="77" t="s">
        <v>192</v>
      </c>
      <c r="N11" s="152"/>
      <c r="O11" s="87"/>
    </row>
    <row r="12" spans="1:15" ht="23.25">
      <c r="A12" s="88" t="s">
        <v>142</v>
      </c>
      <c r="B12" s="93"/>
      <c r="C12" s="90">
        <v>494034300</v>
      </c>
      <c r="D12" s="92"/>
      <c r="E12" s="94">
        <v>1041357580</v>
      </c>
      <c r="F12" s="92"/>
      <c r="G12" s="94">
        <v>80000000</v>
      </c>
      <c r="H12" s="91"/>
      <c r="I12" s="94">
        <v>280000000</v>
      </c>
      <c r="J12" s="91"/>
      <c r="K12" s="89">
        <v>2428344879.5</v>
      </c>
      <c r="L12" s="91"/>
      <c r="M12" s="95">
        <v>870513583.56</v>
      </c>
      <c r="N12" s="91"/>
      <c r="O12" s="89">
        <f>SUM(C12:M12)</f>
        <v>5194250343.059999</v>
      </c>
    </row>
    <row r="13" spans="1:15" ht="23.25">
      <c r="A13" s="147" t="s">
        <v>183</v>
      </c>
      <c r="B13" s="93"/>
      <c r="C13" s="90"/>
      <c r="D13" s="92"/>
      <c r="E13" s="94"/>
      <c r="F13" s="92"/>
      <c r="G13" s="94"/>
      <c r="H13" s="91"/>
      <c r="I13" s="94"/>
      <c r="J13" s="91"/>
      <c r="K13" s="89"/>
      <c r="L13" s="91"/>
      <c r="M13" s="95"/>
      <c r="N13" s="91"/>
      <c r="O13" s="89"/>
    </row>
    <row r="14" spans="1:15" ht="23.25">
      <c r="A14" s="147" t="s">
        <v>201</v>
      </c>
      <c r="B14" s="223"/>
      <c r="C14" s="201"/>
      <c r="D14" s="92"/>
      <c r="E14" s="202"/>
      <c r="F14" s="92"/>
      <c r="G14" s="202"/>
      <c r="H14" s="91"/>
      <c r="I14" s="202"/>
      <c r="J14" s="91"/>
      <c r="K14" s="216">
        <v>-25725247.26</v>
      </c>
      <c r="L14" s="91"/>
      <c r="M14" s="203"/>
      <c r="N14" s="91"/>
      <c r="O14" s="216">
        <f>SUM(C14:M14)</f>
        <v>-25725247.26</v>
      </c>
    </row>
    <row r="15" spans="1:15" ht="23.25">
      <c r="A15" s="147" t="s">
        <v>195</v>
      </c>
      <c r="B15" s="147"/>
      <c r="C15" s="90">
        <f>SUM(C12:C14)</f>
        <v>494034300</v>
      </c>
      <c r="D15" s="92"/>
      <c r="E15" s="90">
        <f>SUM(E12:E14)</f>
        <v>1041357580</v>
      </c>
      <c r="F15" s="92"/>
      <c r="G15" s="90">
        <f>SUM(G12:G14)</f>
        <v>80000000</v>
      </c>
      <c r="H15" s="91"/>
      <c r="I15" s="90">
        <f>SUM(I12:I14)</f>
        <v>280000000</v>
      </c>
      <c r="J15" s="91"/>
      <c r="K15" s="90">
        <f>SUM(K12:K14)</f>
        <v>2402619632.24</v>
      </c>
      <c r="L15" s="91"/>
      <c r="M15" s="90">
        <f>SUM(M12:M14)</f>
        <v>870513583.56</v>
      </c>
      <c r="N15" s="91"/>
      <c r="O15" s="90">
        <f>SUM(O12:O14)</f>
        <v>5168525095.799999</v>
      </c>
    </row>
    <row r="16" spans="1:15" ht="23.25" hidden="1">
      <c r="A16" s="88" t="s">
        <v>25</v>
      </c>
      <c r="B16" s="96"/>
      <c r="C16" s="90"/>
      <c r="D16" s="92"/>
      <c r="E16" s="90"/>
      <c r="F16" s="92"/>
      <c r="G16" s="90"/>
      <c r="H16" s="91"/>
      <c r="I16" s="90"/>
      <c r="J16" s="91"/>
      <c r="K16" s="91"/>
      <c r="L16" s="91"/>
      <c r="M16" s="97"/>
      <c r="N16" s="91"/>
      <c r="O16" s="89">
        <f>SUM(C16:M16)</f>
        <v>0</v>
      </c>
    </row>
    <row r="17" spans="1:15" ht="23.25">
      <c r="A17" s="147" t="s">
        <v>196</v>
      </c>
      <c r="B17" s="96"/>
      <c r="C17" s="90"/>
      <c r="D17" s="92"/>
      <c r="E17" s="90"/>
      <c r="F17" s="92"/>
      <c r="G17" s="90"/>
      <c r="H17" s="91"/>
      <c r="I17" s="90"/>
      <c r="J17" s="91"/>
      <c r="K17" s="138">
        <f>PL!K40</f>
        <v>27922169.249999993</v>
      </c>
      <c r="L17" s="91"/>
      <c r="M17" s="97">
        <v>68156189.66</v>
      </c>
      <c r="N17" s="91"/>
      <c r="O17" s="89">
        <f>SUM(C17:M17)</f>
        <v>96078358.91</v>
      </c>
    </row>
    <row r="18" spans="1:15" ht="24" thickBot="1">
      <c r="A18" s="88" t="s">
        <v>206</v>
      </c>
      <c r="B18" s="96"/>
      <c r="C18" s="98">
        <f>SUM(C15:C17)</f>
        <v>494034300</v>
      </c>
      <c r="D18" s="92"/>
      <c r="E18" s="98">
        <f>SUM(E15:E17)</f>
        <v>1041357580</v>
      </c>
      <c r="F18" s="92"/>
      <c r="G18" s="98">
        <f>SUM(G15:G17)</f>
        <v>80000000</v>
      </c>
      <c r="H18" s="91"/>
      <c r="I18" s="98">
        <f>SUM(I15:I17)</f>
        <v>280000000</v>
      </c>
      <c r="J18" s="91"/>
      <c r="K18" s="98">
        <f>SUM(K15:K17)</f>
        <v>2430541801.49</v>
      </c>
      <c r="L18" s="91"/>
      <c r="M18" s="98">
        <f>SUM(M15:M17)</f>
        <v>938669773.2199999</v>
      </c>
      <c r="N18" s="91"/>
      <c r="O18" s="98">
        <f>SUM(O15:O17)</f>
        <v>5264603454.709999</v>
      </c>
    </row>
    <row r="19" spans="1:15" s="207" customFormat="1" ht="24" thickTop="1">
      <c r="A19" s="147" t="s">
        <v>199</v>
      </c>
      <c r="B19" s="204"/>
      <c r="C19" s="205"/>
      <c r="D19" s="205"/>
      <c r="E19" s="205"/>
      <c r="F19" s="205"/>
      <c r="G19" s="205"/>
      <c r="H19" s="206"/>
      <c r="I19" s="205"/>
      <c r="J19" s="206"/>
      <c r="K19" s="221">
        <v>-98806860</v>
      </c>
      <c r="L19" s="206"/>
      <c r="M19" s="205"/>
      <c r="N19" s="206"/>
      <c r="O19" s="221">
        <f>SUM(C19:M19)</f>
        <v>-98806860</v>
      </c>
    </row>
    <row r="20" spans="1:15" s="207" customFormat="1" ht="23.25">
      <c r="A20" s="147" t="s">
        <v>197</v>
      </c>
      <c r="B20" s="204"/>
      <c r="C20" s="205"/>
      <c r="D20" s="205"/>
      <c r="E20" s="205"/>
      <c r="F20" s="205"/>
      <c r="G20" s="205"/>
      <c r="H20" s="206"/>
      <c r="I20" s="205"/>
      <c r="J20" s="206"/>
      <c r="K20" s="205">
        <v>391723918.55</v>
      </c>
      <c r="L20" s="206"/>
      <c r="M20" s="68">
        <v>170344974.6</v>
      </c>
      <c r="N20" s="206"/>
      <c r="O20" s="89">
        <f>SUM(C20:M20)</f>
        <v>562068893.15</v>
      </c>
    </row>
    <row r="21" spans="1:15" s="207" customFormat="1" ht="24" thickBot="1">
      <c r="A21" s="147" t="s">
        <v>207</v>
      </c>
      <c r="B21" s="204"/>
      <c r="C21" s="98">
        <f>SUM(C18:C20)</f>
        <v>494034300</v>
      </c>
      <c r="D21" s="92"/>
      <c r="E21" s="98">
        <f>SUM(E18:E20)</f>
        <v>1041357580</v>
      </c>
      <c r="F21" s="92"/>
      <c r="G21" s="98">
        <f>SUM(G18:G20)</f>
        <v>80000000</v>
      </c>
      <c r="H21" s="91"/>
      <c r="I21" s="98">
        <f>SUM(I18:I20)</f>
        <v>280000000</v>
      </c>
      <c r="J21" s="91"/>
      <c r="K21" s="98">
        <f>SUM(K18:K20)</f>
        <v>2723458860.04</v>
      </c>
      <c r="L21" s="91"/>
      <c r="M21" s="98">
        <f>SUM(M18:M20)</f>
        <v>1109014747.82</v>
      </c>
      <c r="N21" s="91"/>
      <c r="O21" s="98">
        <f>SUM(O18:O20)</f>
        <v>5727865487.859999</v>
      </c>
    </row>
    <row r="22" spans="1:15" s="207" customFormat="1" ht="24" thickTop="1">
      <c r="A22" s="147"/>
      <c r="B22" s="204"/>
      <c r="C22" s="205"/>
      <c r="D22" s="205"/>
      <c r="E22" s="205"/>
      <c r="F22" s="205"/>
      <c r="G22" s="205"/>
      <c r="H22" s="206"/>
      <c r="I22" s="205"/>
      <c r="J22" s="206"/>
      <c r="K22" s="205"/>
      <c r="L22" s="206"/>
      <c r="M22" s="205"/>
      <c r="N22" s="206"/>
      <c r="O22" s="205"/>
    </row>
    <row r="23" spans="1:15" ht="23.25">
      <c r="A23" s="147" t="s">
        <v>171</v>
      </c>
      <c r="B23" s="147"/>
      <c r="C23" s="138">
        <v>494034300</v>
      </c>
      <c r="D23" s="205"/>
      <c r="E23" s="208">
        <v>1041357580</v>
      </c>
      <c r="F23" s="205"/>
      <c r="G23" s="208">
        <v>80000000</v>
      </c>
      <c r="H23" s="206"/>
      <c r="I23" s="208">
        <v>280000000</v>
      </c>
      <c r="J23" s="206"/>
      <c r="K23" s="47">
        <v>2788355095.36</v>
      </c>
      <c r="L23" s="206"/>
      <c r="M23" s="209">
        <v>1109014747.82</v>
      </c>
      <c r="N23" s="206"/>
      <c r="O23" s="47">
        <f>SUM(C23:M23)</f>
        <v>5792761723.18</v>
      </c>
    </row>
    <row r="24" spans="1:15" ht="23.25">
      <c r="A24" s="147" t="s">
        <v>183</v>
      </c>
      <c r="B24" s="147"/>
      <c r="C24" s="205"/>
      <c r="D24" s="205"/>
      <c r="E24" s="208"/>
      <c r="F24" s="205"/>
      <c r="G24" s="208"/>
      <c r="H24" s="206"/>
      <c r="I24" s="208"/>
      <c r="J24" s="206"/>
      <c r="K24" s="217"/>
      <c r="L24" s="206"/>
      <c r="M24" s="209"/>
      <c r="N24" s="206"/>
      <c r="O24" s="217"/>
    </row>
    <row r="25" spans="1:15" ht="23.25">
      <c r="A25" s="147" t="s">
        <v>201</v>
      </c>
      <c r="B25" s="223">
        <v>4.2</v>
      </c>
      <c r="C25" s="210"/>
      <c r="D25" s="205"/>
      <c r="E25" s="211"/>
      <c r="F25" s="205"/>
      <c r="G25" s="211"/>
      <c r="H25" s="206"/>
      <c r="I25" s="211"/>
      <c r="J25" s="206"/>
      <c r="K25" s="216">
        <v>-64896235.32</v>
      </c>
      <c r="L25" s="206"/>
      <c r="M25" s="213"/>
      <c r="N25" s="206"/>
      <c r="O25" s="216">
        <f>SUM(C25:M25)</f>
        <v>-64896235.32</v>
      </c>
    </row>
    <row r="26" spans="1:15" ht="23.25">
      <c r="A26" s="147" t="s">
        <v>222</v>
      </c>
      <c r="B26" s="147"/>
      <c r="C26" s="90">
        <f>SUM(C23:C25)</f>
        <v>494034300</v>
      </c>
      <c r="D26" s="92"/>
      <c r="E26" s="90">
        <f>SUM(E23:E25)</f>
        <v>1041357580</v>
      </c>
      <c r="F26" s="92"/>
      <c r="G26" s="90">
        <f>SUM(G23:G25)</f>
        <v>80000000</v>
      </c>
      <c r="H26" s="91"/>
      <c r="I26" s="90">
        <f>SUM(I23:I25)</f>
        <v>280000000</v>
      </c>
      <c r="J26" s="91"/>
      <c r="K26" s="90">
        <f>SUM(K23:K25)</f>
        <v>2723458860.04</v>
      </c>
      <c r="L26" s="91"/>
      <c r="M26" s="90">
        <f>SUM(M23:M25)</f>
        <v>1109014747.82</v>
      </c>
      <c r="N26" s="91"/>
      <c r="O26" s="90">
        <f>SUM(O23:O25)</f>
        <v>5727865487.860001</v>
      </c>
    </row>
    <row r="27" spans="1:15" ht="23.25">
      <c r="A27" s="147" t="s">
        <v>183</v>
      </c>
      <c r="B27" s="147"/>
      <c r="C27" s="138"/>
      <c r="D27" s="205"/>
      <c r="E27" s="138"/>
      <c r="F27" s="205"/>
      <c r="G27" s="205"/>
      <c r="H27" s="206"/>
      <c r="I27" s="205"/>
      <c r="J27" s="206"/>
      <c r="K27" s="206"/>
      <c r="L27" s="206"/>
      <c r="M27" s="214"/>
      <c r="N27" s="206"/>
      <c r="O27" s="206"/>
    </row>
    <row r="28" spans="1:15" ht="23.25">
      <c r="A28" s="147" t="s">
        <v>200</v>
      </c>
      <c r="B28" s="223">
        <v>4.1</v>
      </c>
      <c r="C28" s="210"/>
      <c r="D28" s="210"/>
      <c r="E28" s="211"/>
      <c r="F28" s="210"/>
      <c r="G28" s="211"/>
      <c r="H28" s="218"/>
      <c r="I28" s="211"/>
      <c r="J28" s="218"/>
      <c r="K28" s="216">
        <v>-66482393.86</v>
      </c>
      <c r="L28" s="218"/>
      <c r="M28" s="213"/>
      <c r="N28" s="206"/>
      <c r="O28" s="216">
        <f>SUM(C28:M28)</f>
        <v>-66482393.86</v>
      </c>
    </row>
    <row r="29" spans="1:15" ht="23.25">
      <c r="A29" s="147" t="s">
        <v>184</v>
      </c>
      <c r="B29" s="147"/>
      <c r="C29" s="90">
        <f>SUM(C26:C28)</f>
        <v>494034300</v>
      </c>
      <c r="D29" s="92"/>
      <c r="E29" s="90">
        <f>SUM(E26:E28)</f>
        <v>1041357580</v>
      </c>
      <c r="F29" s="92"/>
      <c r="G29" s="90">
        <f>SUM(G26:G28)</f>
        <v>80000000</v>
      </c>
      <c r="H29" s="91"/>
      <c r="I29" s="90">
        <f>SUM(I26:I28)</f>
        <v>280000000</v>
      </c>
      <c r="J29" s="91"/>
      <c r="K29" s="90">
        <f>SUM(K26:K28)</f>
        <v>2656976466.18</v>
      </c>
      <c r="L29" s="91"/>
      <c r="M29" s="90">
        <f>SUM(M26:M28)</f>
        <v>1109014747.82</v>
      </c>
      <c r="N29" s="91"/>
      <c r="O29" s="90">
        <f>SUM(O26:O28)</f>
        <v>5661383094.000001</v>
      </c>
    </row>
    <row r="30" spans="1:15" ht="23.25">
      <c r="A30" s="147" t="s">
        <v>196</v>
      </c>
      <c r="B30" s="147"/>
      <c r="C30" s="138"/>
      <c r="D30" s="205"/>
      <c r="E30" s="138"/>
      <c r="F30" s="205"/>
      <c r="G30" s="138"/>
      <c r="H30" s="206"/>
      <c r="I30" s="138"/>
      <c r="J30" s="206"/>
      <c r="K30" s="138">
        <f>+PL!I40</f>
        <v>84652695.2299999</v>
      </c>
      <c r="L30" s="206"/>
      <c r="M30" s="214">
        <v>105437706.56000018</v>
      </c>
      <c r="N30" s="206"/>
      <c r="O30" s="206">
        <f>SUM(C30:M30)</f>
        <v>190090401.79000008</v>
      </c>
    </row>
    <row r="31" spans="1:15" ht="24" thickBot="1">
      <c r="A31" s="147" t="s">
        <v>172</v>
      </c>
      <c r="B31" s="147"/>
      <c r="C31" s="215">
        <f>SUM(C29:C30)</f>
        <v>494034300</v>
      </c>
      <c r="D31" s="205"/>
      <c r="E31" s="215">
        <f>SUM(E29:E30)</f>
        <v>1041357580</v>
      </c>
      <c r="F31" s="205"/>
      <c r="G31" s="215">
        <f>SUM(G29:G30)</f>
        <v>80000000</v>
      </c>
      <c r="H31" s="206"/>
      <c r="I31" s="215">
        <f>SUM(I29:I30)</f>
        <v>280000000</v>
      </c>
      <c r="J31" s="215">
        <f>SUM(J29:J30)</f>
        <v>0</v>
      </c>
      <c r="K31" s="215">
        <f>SUM(K29:K30)</f>
        <v>2741629161.41</v>
      </c>
      <c r="L31" s="206"/>
      <c r="M31" s="215">
        <f>SUM(M29:M30)</f>
        <v>1214452454.38</v>
      </c>
      <c r="N31" s="206"/>
      <c r="O31" s="215">
        <f>SUM(O29:O30)</f>
        <v>5851473495.790001</v>
      </c>
    </row>
    <row r="32" spans="2:15" ht="24" thickTop="1">
      <c r="B32" s="89"/>
      <c r="C32" s="147"/>
      <c r="D32" s="147"/>
      <c r="E32" s="147"/>
      <c r="F32" s="47"/>
      <c r="G32" s="147"/>
      <c r="H32" s="205"/>
      <c r="I32" s="147"/>
      <c r="J32" s="205"/>
      <c r="K32" s="138"/>
      <c r="L32" s="205"/>
      <c r="M32" s="147"/>
      <c r="N32" s="138"/>
      <c r="O32" s="138"/>
    </row>
    <row r="33" spans="2:15" ht="23.25">
      <c r="B33" s="89"/>
      <c r="C33" s="88"/>
      <c r="D33" s="88"/>
      <c r="E33" s="88"/>
      <c r="F33" s="89"/>
      <c r="G33" s="88"/>
      <c r="H33" s="92"/>
      <c r="I33" s="88"/>
      <c r="J33" s="92"/>
      <c r="K33" s="90"/>
      <c r="L33" s="92"/>
      <c r="M33" s="88"/>
      <c r="N33" s="90"/>
      <c r="O33" s="90"/>
    </row>
    <row r="34" spans="1:15" ht="24" customHeight="1">
      <c r="A34" s="88" t="s">
        <v>5</v>
      </c>
      <c r="B34" s="99"/>
      <c r="C34" s="94"/>
      <c r="D34" s="94"/>
      <c r="E34" s="94"/>
      <c r="F34" s="91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24" customHeight="1">
      <c r="A35" s="88"/>
      <c r="B35" s="99"/>
      <c r="C35" s="94"/>
      <c r="D35" s="94"/>
      <c r="E35" s="94"/>
      <c r="F35" s="91"/>
      <c r="H35" s="100"/>
      <c r="M35" s="94"/>
      <c r="O35" s="101"/>
    </row>
    <row r="36" spans="1:15" s="102" customFormat="1" ht="24" customHeight="1">
      <c r="A36" s="137" t="s">
        <v>119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2:13" s="103" customFormat="1" ht="24" customHeight="1">
      <c r="B37" s="102"/>
      <c r="C37" s="104"/>
      <c r="D37" s="105"/>
      <c r="E37" s="106"/>
      <c r="M37" s="106"/>
    </row>
  </sheetData>
  <sheetProtection/>
  <printOptions/>
  <pageMargins left="0.83" right="0.1968503937007874" top="0.37" bottom="0.15748031496062992" header="0.2362204724409449" footer="0.196850393700787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="80" zoomScaleNormal="80" zoomScalePageLayoutView="0" workbookViewId="0" topLeftCell="A19">
      <selection activeCell="K48" sqref="K48"/>
    </sheetView>
  </sheetViews>
  <sheetFormatPr defaultColWidth="9.140625" defaultRowHeight="24" customHeight="1"/>
  <cols>
    <col min="1" max="1" width="55.7109375" style="105" customWidth="1"/>
    <col min="2" max="2" width="18.00390625" style="104" customWidth="1"/>
    <col min="3" max="3" width="0.85546875" style="105" customWidth="1"/>
    <col min="4" max="4" width="18.00390625" style="106" customWidth="1"/>
    <col min="5" max="5" width="0.85546875" style="103" customWidth="1"/>
    <col min="6" max="6" width="18.57421875" style="104" customWidth="1"/>
    <col min="7" max="7" width="0.9921875" style="105" customWidth="1"/>
    <col min="8" max="8" width="17.00390625" style="106" customWidth="1"/>
    <col min="9" max="9" width="1.1484375" style="103" customWidth="1"/>
    <col min="10" max="16384" width="9.140625" style="103" customWidth="1"/>
  </cols>
  <sheetData>
    <row r="1" spans="1:8" ht="24" customHeight="1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24" customHeight="1">
      <c r="A2" s="172" t="s">
        <v>107</v>
      </c>
      <c r="B2" s="128"/>
      <c r="C2" s="128"/>
      <c r="D2" s="128"/>
      <c r="E2" s="128"/>
      <c r="F2" s="128"/>
      <c r="G2" s="128"/>
      <c r="H2" s="128"/>
    </row>
    <row r="3" spans="1:8" ht="24" customHeight="1">
      <c r="A3" s="128" t="s">
        <v>169</v>
      </c>
      <c r="B3" s="128"/>
      <c r="C3" s="128"/>
      <c r="D3" s="128"/>
      <c r="E3" s="128"/>
      <c r="F3" s="128"/>
      <c r="G3" s="128"/>
      <c r="H3" s="128"/>
    </row>
    <row r="4" spans="1:8" ht="24" customHeight="1">
      <c r="A4" s="128" t="s">
        <v>144</v>
      </c>
      <c r="B4" s="128"/>
      <c r="C4" s="128"/>
      <c r="D4" s="128"/>
      <c r="E4" s="128"/>
      <c r="F4" s="128"/>
      <c r="G4" s="128"/>
      <c r="H4" s="128"/>
    </row>
    <row r="5" spans="1:8" ht="24" customHeight="1">
      <c r="A5" s="107"/>
      <c r="B5" s="108"/>
      <c r="C5" s="107"/>
      <c r="D5" s="109"/>
      <c r="F5" s="108"/>
      <c r="G5" s="107"/>
      <c r="H5" s="110" t="s">
        <v>109</v>
      </c>
    </row>
    <row r="6" spans="1:8" ht="24" customHeight="1">
      <c r="A6" s="107"/>
      <c r="B6" s="63"/>
      <c r="C6" s="63"/>
      <c r="D6" s="111" t="s">
        <v>108</v>
      </c>
      <c r="E6" s="112"/>
      <c r="F6" s="248" t="s">
        <v>60</v>
      </c>
      <c r="G6" s="248"/>
      <c r="H6" s="248"/>
    </row>
    <row r="7" spans="1:8" ht="24" customHeight="1">
      <c r="A7" s="113"/>
      <c r="B7" s="51" t="s">
        <v>170</v>
      </c>
      <c r="C7" s="52"/>
      <c r="D7" s="51" t="s">
        <v>157</v>
      </c>
      <c r="E7" s="53"/>
      <c r="F7" s="51" t="s">
        <v>170</v>
      </c>
      <c r="G7" s="52"/>
      <c r="H7" s="51" t="s">
        <v>157</v>
      </c>
    </row>
    <row r="8" spans="1:8" ht="24" customHeight="1">
      <c r="A8" s="113"/>
      <c r="B8" s="240"/>
      <c r="C8" s="241"/>
      <c r="D8" s="224" t="s">
        <v>213</v>
      </c>
      <c r="E8" s="19"/>
      <c r="F8" s="17"/>
      <c r="G8" s="18"/>
      <c r="H8" s="224" t="s">
        <v>213</v>
      </c>
    </row>
    <row r="9" spans="1:8" ht="24" customHeight="1">
      <c r="A9" s="114" t="s">
        <v>26</v>
      </c>
      <c r="B9" s="115"/>
      <c r="C9" s="116"/>
      <c r="D9" s="115"/>
      <c r="F9" s="115"/>
      <c r="G9" s="116"/>
      <c r="H9" s="117"/>
    </row>
    <row r="10" spans="1:8" ht="24" customHeight="1">
      <c r="A10" s="114" t="s">
        <v>116</v>
      </c>
      <c r="B10" s="118">
        <f>PL!E40</f>
        <v>263983757.70999992</v>
      </c>
      <c r="C10" s="119"/>
      <c r="D10" s="118">
        <f>PL!G40</f>
        <v>224466765.2999999</v>
      </c>
      <c r="E10" s="125"/>
      <c r="F10" s="118">
        <f>PL!I40</f>
        <v>84652695.2299999</v>
      </c>
      <c r="G10" s="118"/>
      <c r="H10" s="118">
        <f>PL!K40</f>
        <v>27922169.249999993</v>
      </c>
    </row>
    <row r="11" spans="1:8" ht="24" customHeight="1">
      <c r="A11" s="114" t="s">
        <v>59</v>
      </c>
      <c r="B11" s="118"/>
      <c r="C11" s="119"/>
      <c r="D11" s="118"/>
      <c r="E11" s="125"/>
      <c r="F11" s="118"/>
      <c r="G11" s="119"/>
      <c r="H11" s="118"/>
    </row>
    <row r="12" spans="1:8" ht="24" customHeight="1">
      <c r="A12" s="114" t="s">
        <v>58</v>
      </c>
      <c r="B12" s="118"/>
      <c r="C12" s="119"/>
      <c r="D12" s="118"/>
      <c r="E12" s="125"/>
      <c r="F12" s="118"/>
      <c r="G12" s="119"/>
      <c r="H12" s="118"/>
    </row>
    <row r="13" spans="1:8" ht="24" customHeight="1">
      <c r="A13" s="114" t="s">
        <v>27</v>
      </c>
      <c r="B13" s="118">
        <v>16936974.15</v>
      </c>
      <c r="C13" s="119"/>
      <c r="D13" s="118">
        <v>22036874.8</v>
      </c>
      <c r="E13" s="125"/>
      <c r="F13" s="118">
        <v>16936974.15</v>
      </c>
      <c r="G13" s="119"/>
      <c r="H13" s="118">
        <v>22036874.8</v>
      </c>
    </row>
    <row r="14" spans="1:8" ht="24" customHeight="1">
      <c r="A14" s="114" t="s">
        <v>121</v>
      </c>
      <c r="B14" s="104">
        <v>449147.22</v>
      </c>
      <c r="C14" s="119"/>
      <c r="D14" s="118">
        <v>0</v>
      </c>
      <c r="E14" s="125"/>
      <c r="F14" s="118">
        <v>449147.22</v>
      </c>
      <c r="G14" s="119"/>
      <c r="H14" s="118">
        <v>0</v>
      </c>
    </row>
    <row r="15" spans="1:8" ht="24" customHeight="1">
      <c r="A15" s="114" t="s">
        <v>158</v>
      </c>
      <c r="B15" s="118">
        <v>-3097282.2</v>
      </c>
      <c r="C15" s="119"/>
      <c r="D15" s="118">
        <v>-1727451.77</v>
      </c>
      <c r="E15" s="125"/>
      <c r="F15" s="118">
        <v>-3097282.2</v>
      </c>
      <c r="G15" s="119"/>
      <c r="H15" s="118">
        <v>-1727451.77</v>
      </c>
    </row>
    <row r="16" spans="1:8" ht="24" customHeight="1">
      <c r="A16" s="114" t="s">
        <v>135</v>
      </c>
      <c r="B16" s="118">
        <v>6313847.94</v>
      </c>
      <c r="C16" s="119"/>
      <c r="D16" s="118">
        <v>6607827.32</v>
      </c>
      <c r="E16" s="125"/>
      <c r="F16" s="118">
        <v>6313847.94</v>
      </c>
      <c r="G16" s="119"/>
      <c r="H16" s="118">
        <v>6607827.32</v>
      </c>
    </row>
    <row r="17" spans="1:8" ht="24" customHeight="1">
      <c r="A17" s="114" t="s">
        <v>28</v>
      </c>
      <c r="B17" s="118">
        <v>-211573256.46</v>
      </c>
      <c r="C17" s="119"/>
      <c r="D17" s="118">
        <v>-203206465.28</v>
      </c>
      <c r="E17" s="125"/>
      <c r="F17" s="118">
        <v>0</v>
      </c>
      <c r="G17" s="119"/>
      <c r="H17" s="118">
        <v>0</v>
      </c>
    </row>
    <row r="18" spans="1:8" ht="24" customHeight="1">
      <c r="A18" s="114" t="s">
        <v>29</v>
      </c>
      <c r="B18" s="118">
        <v>1954193.98</v>
      </c>
      <c r="C18" s="119"/>
      <c r="D18" s="118">
        <v>1051869.23</v>
      </c>
      <c r="E18" s="125"/>
      <c r="F18" s="118">
        <v>0</v>
      </c>
      <c r="G18" s="119"/>
      <c r="H18" s="118">
        <v>0</v>
      </c>
    </row>
    <row r="19" spans="1:8" ht="24" customHeight="1">
      <c r="A19" s="114" t="s">
        <v>30</v>
      </c>
      <c r="B19" s="118">
        <v>30288000</v>
      </c>
      <c r="C19" s="119"/>
      <c r="D19" s="118">
        <v>5610000</v>
      </c>
      <c r="E19" s="125"/>
      <c r="F19" s="118">
        <v>0</v>
      </c>
      <c r="G19" s="119"/>
      <c r="H19" s="118">
        <v>0</v>
      </c>
    </row>
    <row r="20" spans="1:8" ht="24" customHeight="1">
      <c r="A20" s="114" t="s">
        <v>164</v>
      </c>
      <c r="B20" s="118">
        <v>0</v>
      </c>
      <c r="C20" s="119"/>
      <c r="D20" s="118">
        <v>3626157.27</v>
      </c>
      <c r="E20" s="125"/>
      <c r="F20" s="118">
        <v>0</v>
      </c>
      <c r="G20" s="119"/>
      <c r="H20" s="118">
        <v>3626157.27</v>
      </c>
    </row>
    <row r="21" spans="1:8" ht="24" customHeight="1">
      <c r="A21" s="105" t="s">
        <v>31</v>
      </c>
      <c r="B21" s="118">
        <v>-23353044.08</v>
      </c>
      <c r="C21" s="120"/>
      <c r="D21" s="118">
        <v>0</v>
      </c>
      <c r="E21" s="125"/>
      <c r="F21" s="118">
        <v>-23353044.08</v>
      </c>
      <c r="G21" s="120"/>
      <c r="H21" s="118">
        <v>0</v>
      </c>
    </row>
    <row r="22" spans="1:8" ht="24" customHeight="1">
      <c r="A22" s="105" t="s">
        <v>218</v>
      </c>
      <c r="B22" s="121">
        <v>-9344.79</v>
      </c>
      <c r="C22" s="120"/>
      <c r="D22" s="121">
        <v>0</v>
      </c>
      <c r="E22" s="125"/>
      <c r="F22" s="121">
        <v>-9344.79</v>
      </c>
      <c r="G22" s="120"/>
      <c r="H22" s="121">
        <v>0</v>
      </c>
    </row>
    <row r="23" spans="1:8" ht="24" customHeight="1">
      <c r="A23" s="114" t="s">
        <v>32</v>
      </c>
      <c r="B23" s="122"/>
      <c r="C23" s="116"/>
      <c r="D23" s="122"/>
      <c r="F23" s="122"/>
      <c r="G23" s="116"/>
      <c r="H23" s="122"/>
    </row>
    <row r="24" spans="1:8" ht="24" customHeight="1">
      <c r="A24" s="114" t="s">
        <v>33</v>
      </c>
      <c r="B24" s="115">
        <f>SUM(B10:B22)</f>
        <v>81892993.46999992</v>
      </c>
      <c r="C24" s="123"/>
      <c r="D24" s="115">
        <f>SUM(D10:D22)</f>
        <v>58465576.869999886</v>
      </c>
      <c r="E24" s="125"/>
      <c r="F24" s="115">
        <f>SUM(F10:F22)</f>
        <v>81892993.4699999</v>
      </c>
      <c r="G24" s="123"/>
      <c r="H24" s="115">
        <f>SUM(H10:H22)</f>
        <v>58465576.87</v>
      </c>
    </row>
    <row r="25" spans="1:8" ht="24" customHeight="1">
      <c r="A25" s="114" t="s">
        <v>34</v>
      </c>
      <c r="B25" s="115"/>
      <c r="C25" s="123"/>
      <c r="D25" s="115"/>
      <c r="E25" s="125"/>
      <c r="F25" s="115"/>
      <c r="G25" s="123"/>
      <c r="H25" s="115"/>
    </row>
    <row r="26" spans="1:8" ht="24" customHeight="1">
      <c r="A26" s="114" t="s">
        <v>35</v>
      </c>
      <c r="B26" s="118">
        <v>-83723.37</v>
      </c>
      <c r="C26" s="119"/>
      <c r="D26" s="118">
        <v>-111461.51</v>
      </c>
      <c r="E26" s="125"/>
      <c r="F26" s="118">
        <v>-83723.37</v>
      </c>
      <c r="G26" s="119"/>
      <c r="H26" s="118">
        <v>-111461.51</v>
      </c>
    </row>
    <row r="27" spans="1:8" ht="24" customHeight="1">
      <c r="A27" s="105" t="s">
        <v>55</v>
      </c>
      <c r="B27" s="118">
        <v>-67025172.75</v>
      </c>
      <c r="C27" s="119"/>
      <c r="D27" s="118">
        <v>-952466.26</v>
      </c>
      <c r="E27" s="125"/>
      <c r="F27" s="118">
        <v>-67025172.75</v>
      </c>
      <c r="G27" s="119"/>
      <c r="H27" s="118">
        <v>-952466.26</v>
      </c>
    </row>
    <row r="28" spans="1:8" ht="24" customHeight="1">
      <c r="A28" s="105" t="s">
        <v>48</v>
      </c>
      <c r="B28" s="118">
        <v>-114766</v>
      </c>
      <c r="C28" s="119"/>
      <c r="D28" s="118">
        <v>278388.91</v>
      </c>
      <c r="E28" s="125"/>
      <c r="F28" s="118">
        <v>-114766</v>
      </c>
      <c r="G28" s="119"/>
      <c r="H28" s="118">
        <v>278388.91</v>
      </c>
    </row>
    <row r="29" spans="1:8" ht="24" customHeight="1">
      <c r="A29" s="105" t="s">
        <v>231</v>
      </c>
      <c r="B29" s="118">
        <v>-1051098.54</v>
      </c>
      <c r="C29" s="119"/>
      <c r="D29" s="118">
        <v>-404555.49</v>
      </c>
      <c r="E29" s="125"/>
      <c r="F29" s="118">
        <v>-1051098.54</v>
      </c>
      <c r="G29" s="119"/>
      <c r="H29" s="118">
        <v>-404555.49</v>
      </c>
    </row>
    <row r="30" spans="1:8" ht="24" customHeight="1">
      <c r="A30" s="105" t="s">
        <v>36</v>
      </c>
      <c r="B30" s="118">
        <v>-23548272.84</v>
      </c>
      <c r="C30" s="119"/>
      <c r="D30" s="118">
        <v>-52221210.75</v>
      </c>
      <c r="E30" s="125"/>
      <c r="F30" s="118">
        <v>-23548272.84</v>
      </c>
      <c r="G30" s="119"/>
      <c r="H30" s="118">
        <v>-52221210.75</v>
      </c>
    </row>
    <row r="31" spans="1:8" ht="24" customHeight="1">
      <c r="A31" s="105" t="s">
        <v>53</v>
      </c>
      <c r="B31" s="118">
        <v>-2304047.3</v>
      </c>
      <c r="C31" s="119"/>
      <c r="D31" s="118">
        <v>-1271125.2600000016</v>
      </c>
      <c r="E31" s="125"/>
      <c r="F31" s="118">
        <v>-2304047.3</v>
      </c>
      <c r="G31" s="119"/>
      <c r="H31" s="118">
        <v>-1271125.2600000016</v>
      </c>
    </row>
    <row r="32" spans="1:8" ht="24" customHeight="1">
      <c r="A32" s="114" t="s">
        <v>37</v>
      </c>
      <c r="B32" s="118">
        <f>-1238451.08-500</f>
        <v>-1238951.08</v>
      </c>
      <c r="C32" s="119"/>
      <c r="D32" s="118">
        <v>-814209.0700000001</v>
      </c>
      <c r="E32" s="125"/>
      <c r="F32" s="118">
        <f>-1238451.08-500</f>
        <v>-1238951.08</v>
      </c>
      <c r="G32" s="119"/>
      <c r="H32" s="118">
        <v>-814209.0700000001</v>
      </c>
    </row>
    <row r="33" spans="1:8" ht="24" customHeight="1">
      <c r="A33" s="114" t="s">
        <v>54</v>
      </c>
      <c r="B33" s="118">
        <v>808053.51</v>
      </c>
      <c r="C33" s="120"/>
      <c r="D33" s="118">
        <v>8670753.18</v>
      </c>
      <c r="E33" s="125"/>
      <c r="F33" s="118">
        <v>808053.51</v>
      </c>
      <c r="G33" s="120"/>
      <c r="H33" s="118">
        <v>8670753.18</v>
      </c>
    </row>
    <row r="34" spans="1:8" ht="24" customHeight="1">
      <c r="A34" s="114" t="s">
        <v>38</v>
      </c>
      <c r="B34" s="118"/>
      <c r="C34" s="119"/>
      <c r="D34" s="118"/>
      <c r="E34" s="125"/>
      <c r="F34" s="118"/>
      <c r="G34" s="119"/>
      <c r="H34" s="118"/>
    </row>
    <row r="35" spans="1:8" ht="24" customHeight="1">
      <c r="A35" s="114" t="s">
        <v>232</v>
      </c>
      <c r="B35" s="118">
        <v>17477433.71</v>
      </c>
      <c r="C35" s="119"/>
      <c r="D35" s="118">
        <v>2241183.71</v>
      </c>
      <c r="E35" s="125"/>
      <c r="F35" s="118">
        <v>17477433.71</v>
      </c>
      <c r="G35" s="119"/>
      <c r="H35" s="118">
        <v>2241183.71</v>
      </c>
    </row>
    <row r="36" spans="1:8" ht="24" customHeight="1">
      <c r="A36" s="114" t="s">
        <v>219</v>
      </c>
      <c r="B36" s="118">
        <v>5809588.12</v>
      </c>
      <c r="C36" s="119"/>
      <c r="D36" s="118">
        <v>4464501.55</v>
      </c>
      <c r="E36" s="125"/>
      <c r="F36" s="118">
        <v>5809588.12</v>
      </c>
      <c r="G36" s="119"/>
      <c r="H36" s="118">
        <v>4464501.55</v>
      </c>
    </row>
    <row r="37" spans="1:8" ht="24" customHeight="1">
      <c r="A37" s="114" t="s">
        <v>233</v>
      </c>
      <c r="B37" s="118">
        <v>-595162</v>
      </c>
      <c r="C37" s="119"/>
      <c r="D37" s="118">
        <v>1750398.17</v>
      </c>
      <c r="E37" s="125"/>
      <c r="F37" s="118">
        <v>-595162</v>
      </c>
      <c r="G37" s="119"/>
      <c r="H37" s="118">
        <v>1750398.17</v>
      </c>
    </row>
    <row r="38" spans="1:8" ht="24" customHeight="1">
      <c r="A38" s="114" t="s">
        <v>39</v>
      </c>
      <c r="B38" s="118">
        <v>-18207086.43</v>
      </c>
      <c r="C38" s="119"/>
      <c r="D38" s="118">
        <v>-17415054.71</v>
      </c>
      <c r="F38" s="118">
        <v>-18207086.43</v>
      </c>
      <c r="G38" s="119"/>
      <c r="H38" s="118">
        <v>-17415054.71</v>
      </c>
    </row>
    <row r="39" spans="1:8" ht="24" customHeight="1">
      <c r="A39" s="114"/>
      <c r="B39" s="118"/>
      <c r="C39" s="119"/>
      <c r="D39" s="118"/>
      <c r="F39" s="118"/>
      <c r="G39" s="119"/>
      <c r="H39" s="118"/>
    </row>
    <row r="40" spans="1:8" ht="24" customHeight="1">
      <c r="A40" s="136" t="s">
        <v>5</v>
      </c>
      <c r="B40" s="118"/>
      <c r="C40" s="120"/>
      <c r="D40" s="126"/>
      <c r="F40" s="118"/>
      <c r="G40" s="120"/>
      <c r="H40" s="126"/>
    </row>
    <row r="41" spans="2:8" ht="24" customHeight="1">
      <c r="B41" s="118"/>
      <c r="C41" s="120"/>
      <c r="D41" s="126"/>
      <c r="F41" s="118"/>
      <c r="G41" s="120"/>
      <c r="H41" s="126"/>
    </row>
    <row r="42" spans="1:8" s="102" customFormat="1" ht="24" customHeight="1">
      <c r="A42" s="137" t="s">
        <v>119</v>
      </c>
      <c r="B42" s="137"/>
      <c r="C42" s="137"/>
      <c r="D42" s="137"/>
      <c r="E42" s="137"/>
      <c r="F42" s="137"/>
      <c r="G42" s="137"/>
      <c r="H42" s="137"/>
    </row>
    <row r="43" spans="1:8" ht="24" customHeight="1">
      <c r="A43" s="249" t="s">
        <v>16</v>
      </c>
      <c r="B43" s="249"/>
      <c r="C43" s="249"/>
      <c r="D43" s="249"/>
      <c r="E43" s="249"/>
      <c r="F43" s="249"/>
      <c r="G43" s="249"/>
      <c r="H43" s="249"/>
    </row>
    <row r="44" spans="1:8" ht="24" customHeight="1">
      <c r="A44" s="103"/>
      <c r="B44" s="127"/>
      <c r="C44" s="128"/>
      <c r="D44" s="129"/>
      <c r="F44" s="127"/>
      <c r="G44" s="128"/>
      <c r="H44" s="129"/>
    </row>
    <row r="45" spans="1:8" ht="24" customHeight="1">
      <c r="A45" s="128" t="s">
        <v>0</v>
      </c>
      <c r="B45" s="128"/>
      <c r="C45" s="128"/>
      <c r="D45" s="128"/>
      <c r="E45" s="128"/>
      <c r="F45" s="128"/>
      <c r="G45" s="128"/>
      <c r="H45" s="128"/>
    </row>
    <row r="46" spans="1:8" ht="24" customHeight="1">
      <c r="A46" s="172" t="s">
        <v>107</v>
      </c>
      <c r="B46" s="128"/>
      <c r="C46" s="128"/>
      <c r="D46" s="128"/>
      <c r="E46" s="128"/>
      <c r="F46" s="128"/>
      <c r="G46" s="128"/>
      <c r="H46" s="128"/>
    </row>
    <row r="47" spans="1:8" ht="24" customHeight="1">
      <c r="A47" s="128" t="s">
        <v>169</v>
      </c>
      <c r="B47" s="128"/>
      <c r="C47" s="128"/>
      <c r="D47" s="128"/>
      <c r="E47" s="128"/>
      <c r="F47" s="128"/>
      <c r="G47" s="128"/>
      <c r="H47" s="128"/>
    </row>
    <row r="48" spans="1:8" ht="24" customHeight="1">
      <c r="A48" s="128" t="s">
        <v>144</v>
      </c>
      <c r="B48" s="128"/>
      <c r="C48" s="128"/>
      <c r="D48" s="128"/>
      <c r="E48" s="128"/>
      <c r="F48" s="128"/>
      <c r="G48" s="128"/>
      <c r="H48" s="128"/>
    </row>
    <row r="49" spans="1:8" ht="24" customHeight="1">
      <c r="A49" s="231"/>
      <c r="B49" s="237"/>
      <c r="C49" s="231"/>
      <c r="D49" s="238"/>
      <c r="F49" s="237"/>
      <c r="G49" s="231"/>
      <c r="H49" s="239" t="s">
        <v>109</v>
      </c>
    </row>
    <row r="50" spans="1:8" ht="24" customHeight="1">
      <c r="A50" s="231"/>
      <c r="B50" s="63"/>
      <c r="C50" s="63"/>
      <c r="D50" s="111" t="s">
        <v>108</v>
      </c>
      <c r="E50" s="112"/>
      <c r="F50" s="248" t="s">
        <v>60</v>
      </c>
      <c r="G50" s="248"/>
      <c r="H50" s="248"/>
    </row>
    <row r="51" spans="1:8" ht="24" customHeight="1">
      <c r="A51" s="113"/>
      <c r="B51" s="51" t="s">
        <v>170</v>
      </c>
      <c r="C51" s="52"/>
      <c r="D51" s="51" t="s">
        <v>157</v>
      </c>
      <c r="E51" s="53"/>
      <c r="F51" s="51" t="s">
        <v>170</v>
      </c>
      <c r="G51" s="52"/>
      <c r="H51" s="51" t="s">
        <v>157</v>
      </c>
    </row>
    <row r="52" spans="1:8" ht="24" customHeight="1">
      <c r="A52" s="113"/>
      <c r="B52" s="240"/>
      <c r="C52" s="241"/>
      <c r="D52" s="224" t="s">
        <v>213</v>
      </c>
      <c r="E52" s="19"/>
      <c r="F52" s="17"/>
      <c r="G52" s="18"/>
      <c r="H52" s="224" t="s">
        <v>213</v>
      </c>
    </row>
    <row r="53" spans="1:8" ht="24" customHeight="1">
      <c r="A53" s="114" t="s">
        <v>145</v>
      </c>
      <c r="B53" s="169">
        <f>SUM(B24:B38)</f>
        <v>-8180211.500000078</v>
      </c>
      <c r="C53" s="119"/>
      <c r="D53" s="169">
        <f>SUM(D24:D38)</f>
        <v>2680719.3399998844</v>
      </c>
      <c r="E53" s="125"/>
      <c r="F53" s="169">
        <f>SUM(F24:F38)</f>
        <v>-8180211.500000108</v>
      </c>
      <c r="G53" s="119"/>
      <c r="H53" s="169">
        <f>SUM(H24:H38)</f>
        <v>2680719.339999996</v>
      </c>
    </row>
    <row r="54" spans="1:8" ht="24" customHeight="1">
      <c r="A54" s="114" t="s">
        <v>146</v>
      </c>
      <c r="B54" s="118">
        <v>-7106384.88</v>
      </c>
      <c r="C54" s="119"/>
      <c r="D54" s="118">
        <v>-14164435.78</v>
      </c>
      <c r="E54" s="125"/>
      <c r="F54" s="118">
        <v>-7106384.88</v>
      </c>
      <c r="G54" s="119"/>
      <c r="H54" s="118">
        <v>-14164435.78</v>
      </c>
    </row>
    <row r="55" spans="1:8" ht="24" customHeight="1">
      <c r="A55" s="114" t="s">
        <v>147</v>
      </c>
      <c r="B55" s="121">
        <v>-3063084.95</v>
      </c>
      <c r="C55" s="119"/>
      <c r="D55" s="121">
        <v>-2795949.03</v>
      </c>
      <c r="F55" s="121">
        <v>-3063084.95</v>
      </c>
      <c r="G55" s="119"/>
      <c r="H55" s="121">
        <v>-2795949.03</v>
      </c>
    </row>
    <row r="56" spans="1:8" ht="24" customHeight="1">
      <c r="A56" s="114" t="s">
        <v>40</v>
      </c>
      <c r="B56" s="124">
        <f>SUM(B53:B55)</f>
        <v>-18349681.330000076</v>
      </c>
      <c r="C56" s="119"/>
      <c r="D56" s="124">
        <f>SUM(D53:D55)</f>
        <v>-14279665.470000114</v>
      </c>
      <c r="F56" s="124">
        <f>SUM(F53:F55)</f>
        <v>-18349681.330000106</v>
      </c>
      <c r="G56" s="119"/>
      <c r="H56" s="124">
        <f>SUM(H53:H55)</f>
        <v>-14279665.470000003</v>
      </c>
    </row>
    <row r="57" spans="1:8" ht="24" customHeight="1">
      <c r="A57" s="114" t="s">
        <v>41</v>
      </c>
      <c r="B57" s="130"/>
      <c r="D57" s="130"/>
      <c r="F57" s="130"/>
      <c r="H57" s="117"/>
    </row>
    <row r="58" spans="1:8" ht="24" customHeight="1">
      <c r="A58" s="114" t="s">
        <v>51</v>
      </c>
      <c r="B58" s="167">
        <v>-340450</v>
      </c>
      <c r="C58" s="132"/>
      <c r="D58" s="131">
        <v>0</v>
      </c>
      <c r="F58" s="167">
        <v>-340450</v>
      </c>
      <c r="G58" s="132"/>
      <c r="H58" s="131">
        <v>0</v>
      </c>
    </row>
    <row r="59" spans="1:8" ht="24" customHeight="1">
      <c r="A59" s="114" t="s">
        <v>220</v>
      </c>
      <c r="B59" s="167">
        <v>24000000</v>
      </c>
      <c r="C59" s="132"/>
      <c r="D59" s="131">
        <v>0</v>
      </c>
      <c r="F59" s="167">
        <v>24000000</v>
      </c>
      <c r="G59" s="132"/>
      <c r="H59" s="131">
        <v>0</v>
      </c>
    </row>
    <row r="60" spans="1:8" ht="24" customHeight="1">
      <c r="A60" s="114" t="s">
        <v>52</v>
      </c>
      <c r="B60" s="167">
        <v>-26583543.75</v>
      </c>
      <c r="C60" s="132"/>
      <c r="D60" s="131">
        <v>-20868571.04</v>
      </c>
      <c r="F60" s="167">
        <v>-26583543.75</v>
      </c>
      <c r="G60" s="132"/>
      <c r="H60" s="131">
        <v>-20868571.04</v>
      </c>
    </row>
    <row r="61" spans="1:8" ht="24" customHeight="1">
      <c r="A61" s="114" t="s">
        <v>162</v>
      </c>
      <c r="B61" s="167">
        <v>9345.79</v>
      </c>
      <c r="C61" s="123"/>
      <c r="D61" s="131">
        <v>0</v>
      </c>
      <c r="F61" s="167">
        <v>9345.79</v>
      </c>
      <c r="G61" s="123"/>
      <c r="H61" s="131">
        <v>0</v>
      </c>
    </row>
    <row r="62" spans="1:8" ht="24" customHeight="1">
      <c r="A62" s="114" t="s">
        <v>221</v>
      </c>
      <c r="B62" s="167">
        <v>-15828869.58</v>
      </c>
      <c r="C62" s="123"/>
      <c r="D62" s="131">
        <v>-9764804.49</v>
      </c>
      <c r="F62" s="167">
        <v>-15828869.58</v>
      </c>
      <c r="G62" s="123"/>
      <c r="H62" s="131">
        <v>-9764804.49</v>
      </c>
    </row>
    <row r="63" spans="1:8" ht="24" customHeight="1">
      <c r="A63" s="114" t="s">
        <v>161</v>
      </c>
      <c r="B63" s="131">
        <v>0</v>
      </c>
      <c r="C63" s="123"/>
      <c r="D63" s="131">
        <v>5000000</v>
      </c>
      <c r="F63" s="131">
        <v>0</v>
      </c>
      <c r="G63" s="123"/>
      <c r="H63" s="131">
        <v>5000000</v>
      </c>
    </row>
    <row r="64" spans="1:8" ht="24" customHeight="1">
      <c r="A64" s="114" t="s">
        <v>42</v>
      </c>
      <c r="B64" s="133">
        <f>SUM(B58:B63)</f>
        <v>-18743517.54</v>
      </c>
      <c r="C64" s="123"/>
      <c r="D64" s="133">
        <f>SUM(D58:D63)</f>
        <v>-25633375.53</v>
      </c>
      <c r="F64" s="133">
        <f>SUM(F58:F63)</f>
        <v>-18743517.54</v>
      </c>
      <c r="G64" s="123"/>
      <c r="H64" s="133">
        <f>SUM(H58:H63)</f>
        <v>-25633375.53</v>
      </c>
    </row>
    <row r="65" spans="1:8" ht="24" customHeight="1">
      <c r="A65" s="114" t="s">
        <v>43</v>
      </c>
      <c r="B65" s="130"/>
      <c r="C65" s="123"/>
      <c r="D65" s="130"/>
      <c r="F65" s="130"/>
      <c r="G65" s="123"/>
      <c r="H65" s="130"/>
    </row>
    <row r="66" spans="1:8" ht="24" customHeight="1">
      <c r="A66" s="114" t="s">
        <v>44</v>
      </c>
      <c r="C66" s="123"/>
      <c r="D66" s="104"/>
      <c r="G66" s="123"/>
      <c r="H66" s="104"/>
    </row>
    <row r="67" spans="1:8" ht="24" customHeight="1">
      <c r="A67" s="114" t="s">
        <v>45</v>
      </c>
      <c r="B67" s="131">
        <v>132501184.48</v>
      </c>
      <c r="C67" s="132"/>
      <c r="D67" s="131">
        <v>290797641.34</v>
      </c>
      <c r="F67" s="131">
        <v>132501184.48</v>
      </c>
      <c r="G67" s="132"/>
      <c r="H67" s="131">
        <v>290797641.34</v>
      </c>
    </row>
    <row r="68" spans="1:8" ht="24" customHeight="1">
      <c r="A68" s="165" t="s">
        <v>156</v>
      </c>
      <c r="B68" s="131">
        <v>-60000000</v>
      </c>
      <c r="C68" s="132"/>
      <c r="D68" s="131">
        <v>-260000000</v>
      </c>
      <c r="F68" s="131">
        <v>-60000000</v>
      </c>
      <c r="G68" s="132"/>
      <c r="H68" s="131">
        <v>-260000000</v>
      </c>
    </row>
    <row r="69" spans="1:8" ht="24" customHeight="1">
      <c r="A69" s="114" t="s">
        <v>46</v>
      </c>
      <c r="B69" s="134">
        <f>SUM(B67:B68)</f>
        <v>72501184.48</v>
      </c>
      <c r="C69" s="123"/>
      <c r="D69" s="134">
        <f>SUM(D67:D68)</f>
        <v>30797641.339999974</v>
      </c>
      <c r="F69" s="134">
        <f>SUM(F67:F68)</f>
        <v>72501184.48</v>
      </c>
      <c r="G69" s="123"/>
      <c r="H69" s="134">
        <f>SUM(H67:H68)</f>
        <v>30797641.339999974</v>
      </c>
    </row>
    <row r="70" spans="1:8" ht="24" customHeight="1">
      <c r="A70" s="114" t="s">
        <v>47</v>
      </c>
      <c r="B70" s="168">
        <f>+B56+B64+B69</f>
        <v>35407985.609999925</v>
      </c>
      <c r="C70" s="123"/>
      <c r="D70" s="130">
        <f>+D56+D64+D69</f>
        <v>-9115399.660000145</v>
      </c>
      <c r="F70" s="130">
        <f>+F56+F64+F69</f>
        <v>35407985.609999895</v>
      </c>
      <c r="G70" s="123"/>
      <c r="H70" s="130">
        <f>+H56+H64+H69</f>
        <v>-9115399.660000026</v>
      </c>
    </row>
    <row r="71" spans="1:8" ht="24" customHeight="1">
      <c r="A71" s="114" t="s">
        <v>148</v>
      </c>
      <c r="B71" s="131">
        <v>40487207.43</v>
      </c>
      <c r="C71" s="123"/>
      <c r="D71" s="131">
        <v>71374414.37</v>
      </c>
      <c r="F71" s="131">
        <v>40487207.43</v>
      </c>
      <c r="G71" s="123"/>
      <c r="H71" s="131">
        <v>71374414.37</v>
      </c>
    </row>
    <row r="72" spans="1:8" ht="24" customHeight="1" thickBot="1">
      <c r="A72" s="114" t="s">
        <v>149</v>
      </c>
      <c r="B72" s="135">
        <f>SUM(B70:B71)</f>
        <v>75895193.03999993</v>
      </c>
      <c r="C72" s="119"/>
      <c r="D72" s="135">
        <f>SUM(D70:D71)</f>
        <v>62259014.70999986</v>
      </c>
      <c r="F72" s="135">
        <f>SUM(F70:F71)</f>
        <v>75895193.0399999</v>
      </c>
      <c r="G72" s="119"/>
      <c r="H72" s="135">
        <f>SUM(H70:H71)</f>
        <v>62259014.70999998</v>
      </c>
    </row>
    <row r="73" spans="1:8" ht="24" customHeight="1" thickTop="1">
      <c r="A73" s="114"/>
      <c r="B73" s="131"/>
      <c r="C73" s="132"/>
      <c r="D73" s="131"/>
      <c r="F73" s="131"/>
      <c r="G73" s="132"/>
      <c r="H73" s="131"/>
    </row>
    <row r="74" spans="1:8" ht="24" customHeight="1">
      <c r="A74" s="114"/>
      <c r="B74" s="131"/>
      <c r="C74" s="132"/>
      <c r="D74" s="131"/>
      <c r="F74" s="131"/>
      <c r="G74" s="132"/>
      <c r="H74" s="131"/>
    </row>
    <row r="75" spans="1:8" ht="24" customHeight="1">
      <c r="A75" s="114"/>
      <c r="B75" s="131"/>
      <c r="C75" s="132"/>
      <c r="D75" s="131"/>
      <c r="F75" s="131"/>
      <c r="G75" s="132"/>
      <c r="H75" s="131"/>
    </row>
    <row r="76" spans="1:8" ht="24" customHeight="1">
      <c r="A76" s="114"/>
      <c r="B76" s="131"/>
      <c r="C76" s="132"/>
      <c r="D76" s="131"/>
      <c r="F76" s="131"/>
      <c r="G76" s="132"/>
      <c r="H76" s="131"/>
    </row>
    <row r="77" spans="1:8" ht="24" customHeight="1">
      <c r="A77" s="136" t="s">
        <v>5</v>
      </c>
      <c r="B77" s="166"/>
      <c r="D77" s="104"/>
      <c r="F77" s="166"/>
      <c r="H77" s="104"/>
    </row>
    <row r="78" ht="24" customHeight="1">
      <c r="A78" s="136"/>
    </row>
    <row r="79" ht="24" customHeight="1">
      <c r="A79" s="136"/>
    </row>
    <row r="80" spans="1:8" s="102" customFormat="1" ht="24" customHeight="1">
      <c r="A80" s="137" t="s">
        <v>119</v>
      </c>
      <c r="B80" s="137"/>
      <c r="C80" s="137"/>
      <c r="D80" s="137"/>
      <c r="E80" s="137"/>
      <c r="F80" s="137"/>
      <c r="G80" s="137"/>
      <c r="H80" s="137"/>
    </row>
  </sheetData>
  <sheetProtection/>
  <mergeCells count="3">
    <mergeCell ref="F6:H6"/>
    <mergeCell ref="A43:H43"/>
    <mergeCell ref="F50:H50"/>
  </mergeCells>
  <printOptions/>
  <pageMargins left="0.4330708661417323" right="0" top="0.56" bottom="0.31496062992125984" header="0.22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osf</dc:creator>
  <cp:keywords/>
  <dc:description/>
  <cp:lastModifiedBy>owner</cp:lastModifiedBy>
  <cp:lastPrinted>2011-05-16T12:12:50Z</cp:lastPrinted>
  <dcterms:created xsi:type="dcterms:W3CDTF">2003-01-11T05:21:36Z</dcterms:created>
  <dcterms:modified xsi:type="dcterms:W3CDTF">2011-05-18T07:11:18Z</dcterms:modified>
  <cp:category/>
  <cp:version/>
  <cp:contentType/>
  <cp:contentStatus/>
</cp:coreProperties>
</file>