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BS" sheetId="1" r:id="rId1"/>
    <sheet name="PL3M" sheetId="2" r:id="rId2"/>
    <sheet name="PL12M" sheetId="3" r:id="rId3"/>
    <sheet name="งบแสดงฯ " sheetId="4" r:id="rId4"/>
    <sheet name="งบแสดงฯ เฉพาะ" sheetId="5" r:id="rId5"/>
    <sheet name="Cash Flow" sheetId="6" r:id="rId6"/>
  </sheets>
  <definedNames>
    <definedName name="_xlnm.Print_Area" localSheetId="2">'PL12M'!$A$1:$K$92</definedName>
    <definedName name="_xlnm.Print_Area" localSheetId="1">'PL3M'!$A$1:$K$91</definedName>
    <definedName name="_xlnm.Print_Area" localSheetId="3">'งบแสดงฯ '!$A$1:$AC$36</definedName>
  </definedNames>
  <calcPr fullCalcOnLoad="1"/>
</workbook>
</file>

<file path=xl/sharedStrings.xml><?xml version="1.0" encoding="utf-8"?>
<sst xmlns="http://schemas.openxmlformats.org/spreadsheetml/2006/main" count="457" uniqueCount="275">
  <si>
    <t>บริษัท สหพัฒนาอินเตอร์โฮลดิ้ง จำกัด (มหาชน)</t>
  </si>
  <si>
    <t xml:space="preserve">สินทรัพย์ </t>
  </si>
  <si>
    <t>หมายเหตุ</t>
  </si>
  <si>
    <t>สินทรัพย์หมุนเวียน</t>
  </si>
  <si>
    <t>สินทรัพย์ไม่หมุนเวียน</t>
  </si>
  <si>
    <t>หมายเหตุประกอบงบการเงินเป็นส่วนหนึ่งของงบการเงินนี้</t>
  </si>
  <si>
    <t>- 2 -</t>
  </si>
  <si>
    <t>หนี้สินและส่วนของผู้ถือหุ้น</t>
  </si>
  <si>
    <t>หนี้สินหมุนเวียน</t>
  </si>
  <si>
    <t>หนี้สินไม่หมุนเวียน</t>
  </si>
  <si>
    <t>ส่วนของผู้ถือหุ้น</t>
  </si>
  <si>
    <t>รวมหนี้สินและส่วนของผู้ถือหุ้น</t>
  </si>
  <si>
    <t>รายได้</t>
  </si>
  <si>
    <t xml:space="preserve"> - 2 -</t>
  </si>
  <si>
    <t>ค่าใช้จ่าย</t>
  </si>
  <si>
    <t>กำไรต่อหุ้นขั้นพื้นฐาน</t>
  </si>
  <si>
    <t>ทุนเรือนหุ้นที่</t>
  </si>
  <si>
    <t>สำรองทั่วไป</t>
  </si>
  <si>
    <t>กำไรสะสม</t>
  </si>
  <si>
    <t>รวม</t>
  </si>
  <si>
    <t>มูลค่าหุ้น</t>
  </si>
  <si>
    <t>กระแสเงินสดจากกิจกรรมดำเนินงาน</t>
  </si>
  <si>
    <t xml:space="preserve">               ค่าเสื่อมราคาและรายการตัดบัญชี</t>
  </si>
  <si>
    <t xml:space="preserve">               ส่วนแบ่ง(กำไร)จากเงินลงทุนตามวิธีส่วนได้เสีย</t>
  </si>
  <si>
    <t xml:space="preserve">               ส่วนแบ่งขาดทุนจากเงินลงทุนตามวิธีส่วนได้เสีย</t>
  </si>
  <si>
    <t xml:space="preserve">               เงินปันผลรับจากการลงทุน</t>
  </si>
  <si>
    <t xml:space="preserve">     กำไร(ขาดทุน)จากการดำเนินงานก่อนการเปลี่ยนแปลง</t>
  </si>
  <si>
    <t xml:space="preserve">          ในสินทรัพย์และหนี้สินดำเนินงาน</t>
  </si>
  <si>
    <t xml:space="preserve">     สินทรัพย์ดำเนินงาน(เพิ่มขึ้น)ลดลง</t>
  </si>
  <si>
    <t xml:space="preserve">               สินค้าคงเหลือ</t>
  </si>
  <si>
    <t xml:space="preserve">     หนี้สินดำเนินงานเพิ่มขึ้น(ลดลง)</t>
  </si>
  <si>
    <t>เงินสดสุทธิได้มา(ใช้ไป)จากกิจกรรมดำเนินงาน</t>
  </si>
  <si>
    <t>กระแสเงินสดจากกิจกรรมลงทุน</t>
  </si>
  <si>
    <t>เงินสดสุทธิได้มา(ใช้ไป)จากกิจกรรมลงทุน</t>
  </si>
  <si>
    <t>กระแสเงินสดจากกิจกรรมจัดหาเงิน</t>
  </si>
  <si>
    <t xml:space="preserve">               เงินเบิกเกินบัญชีธนาคารและเงินกู้ยืม</t>
  </si>
  <si>
    <t xml:space="preserve">                       จากสถาบันการเงินเพิ่มขึ้น(ลดลง)</t>
  </si>
  <si>
    <t>เงินสดสุทธิได้มา(ใช้ไป)จากกิจกรรมจัดหาเงิน</t>
  </si>
  <si>
    <t>เงินสดและรายการเทียบเท่าเงินสดเพิ่มขึ้น(ลดลง)สุทธิ</t>
  </si>
  <si>
    <t xml:space="preserve">               อสังหาริมทรัพย์ตามสัญญาจะซื้อจะขาย</t>
  </si>
  <si>
    <t>รายได้อื่น</t>
  </si>
  <si>
    <t>ต้นทุนขายอสังหาริมทรัพย์</t>
  </si>
  <si>
    <t xml:space="preserve">               ซื้อหลักทรัพย์หุ้นทุน</t>
  </si>
  <si>
    <t xml:space="preserve">               ซื้อที่ดิน อาคารและอุปกรณ์</t>
  </si>
  <si>
    <t xml:space="preserve">               สินทรัพย์ไม่หมุนเวียนอื่น</t>
  </si>
  <si>
    <t xml:space="preserve">               อสังหาริมทรัพย์รอการขาย</t>
  </si>
  <si>
    <t>ส่วนแบ่งกำไรจากเงินลงทุนในบริษัทร่วม</t>
  </si>
  <si>
    <t xml:space="preserve">      ตามวิธีส่วนได้เสีย</t>
  </si>
  <si>
    <t xml:space="preserve">                    เป็นเงินสดรับ(จ่าย)จากกิจกรรมดำเนินงาน</t>
  </si>
  <si>
    <t xml:space="preserve">     บวก  รายการปรับกระทบยอดกำไร(ขาดทุน)สุทธิ</t>
  </si>
  <si>
    <t>งบการเงินเฉพาะกิจการ</t>
  </si>
  <si>
    <t>งบการเงินที่แสดงเงินลงทุนตามวิธีส่วนได้เสีย</t>
  </si>
  <si>
    <t xml:space="preserve">     เงินสดและรายการเทียบเท่าเงินสด</t>
  </si>
  <si>
    <t xml:space="preserve">                 รวมสินทรัพย์หมุนเวียน</t>
  </si>
  <si>
    <t xml:space="preserve">     เงินลงทุนในกิจการที่เกี่ยวข้องกัน </t>
  </si>
  <si>
    <t xml:space="preserve">     เงินลงทุนระยะยาวอื่น</t>
  </si>
  <si>
    <t xml:space="preserve">     อสังหาริมทรัพย์ตามสัญญาจะซื้อจะขาย</t>
  </si>
  <si>
    <t xml:space="preserve">     สินทรัพย์ไม่หมุนเวียนอื่น</t>
  </si>
  <si>
    <t xml:space="preserve">            เงินมัดจำค่าที่ดิน</t>
  </si>
  <si>
    <t xml:space="preserve">            ภาษีหัก ณ ที่จ่าย</t>
  </si>
  <si>
    <t xml:space="preserve">            อื่น  ๆ </t>
  </si>
  <si>
    <t xml:space="preserve">                 รวมสินทรัพย์ไม่หมุนเวียนอื่น</t>
  </si>
  <si>
    <t xml:space="preserve">                 รวมสินทรัพย์ไม่หมุนเวียน</t>
  </si>
  <si>
    <t xml:space="preserve">                 รวมสินทรัพย์</t>
  </si>
  <si>
    <t xml:space="preserve">     เจ้าหนี้เงินลงทุน</t>
  </si>
  <si>
    <t xml:space="preserve">     ภาระหนี้สินจากการค้ำประกัน</t>
  </si>
  <si>
    <t xml:space="preserve">                 รวมหนี้สินหมุนเวียน</t>
  </si>
  <si>
    <t xml:space="preserve">                 รวมหนี้สินไม่หมุนเวียน</t>
  </si>
  <si>
    <t xml:space="preserve">                 รวมหนี้สิน</t>
  </si>
  <si>
    <t xml:space="preserve">     เงินเบิกเกินบัญชีและเงินกู้ยืมจาก</t>
  </si>
  <si>
    <t xml:space="preserve">     ส่วนของหนี้สินระยะยาวที่ถึง</t>
  </si>
  <si>
    <t xml:space="preserve">        กำหนดชำระใน 1 ปี</t>
  </si>
  <si>
    <t xml:space="preserve">        สถาบันการเงิน</t>
  </si>
  <si>
    <t xml:space="preserve">   ทุนเรือนหุ้น</t>
  </si>
  <si>
    <t xml:space="preserve">      ทุนจดทะเบียน</t>
  </si>
  <si>
    <t xml:space="preserve">         หุ้นสามัญ 800,000,000 หุ้น มูลค่าหุ้นละ 1 บาท</t>
  </si>
  <si>
    <t xml:space="preserve">      ทุนที่ออกและเรียกชำระแล้ว</t>
  </si>
  <si>
    <t xml:space="preserve">         หุ้นสามัญ 494,034,300 หุ้น หุ้นละ 1 บาท</t>
  </si>
  <si>
    <t xml:space="preserve">      ส่วนเกินมูลค่าหุ้น</t>
  </si>
  <si>
    <t xml:space="preserve">      จัดสรรแล้ว</t>
  </si>
  <si>
    <t xml:space="preserve">         สำรองตามกฎหมาย</t>
  </si>
  <si>
    <t xml:space="preserve">         สำรองทั่วไป</t>
  </si>
  <si>
    <t xml:space="preserve">      ยังไม่ได้จัดสรร</t>
  </si>
  <si>
    <t xml:space="preserve">                 รวมส่วนของผู้ถือหุ้น</t>
  </si>
  <si>
    <t>งบกระแสเงินสด</t>
  </si>
  <si>
    <t xml:space="preserve"> งบการเงินที่แสดงเงินลงทุนตามวิธีส่วนได้เสีย</t>
  </si>
  <si>
    <t>(หน่วย : บาท)</t>
  </si>
  <si>
    <t xml:space="preserve">   กำไรสะสม</t>
  </si>
  <si>
    <t xml:space="preserve">     เงินลงทุนในบริษัทร่วม</t>
  </si>
  <si>
    <t xml:space="preserve">          บันทึกโดยวิธีส่วนได้เสีย</t>
  </si>
  <si>
    <t xml:space="preserve">          บันทึกโดยวิธีราคาทุน</t>
  </si>
  <si>
    <t>ขาดทุนจากการปริวรรตเงินตรา</t>
  </si>
  <si>
    <t>รายได้ค่าสาธารณูปโภครับ</t>
  </si>
  <si>
    <t>รายได้เงินปันผลรับ</t>
  </si>
  <si>
    <t>กำไรจากการจำหน่ายทรัพย์สิน</t>
  </si>
  <si>
    <t>กำไรจากการปริวรรตเงินตรา</t>
  </si>
  <si>
    <t xml:space="preserve">ดอกเบี้ยรับ </t>
  </si>
  <si>
    <t>อื่นๆ</t>
  </si>
  <si>
    <t>ค่าใช้จ่ายอื่น</t>
  </si>
  <si>
    <t>ต้นทุนทางการเงิน</t>
  </si>
  <si>
    <t>ต้นทุนค่าสาธารณูปโภค</t>
  </si>
  <si>
    <t>ค่าใช้จ่ายในการบริหาร</t>
  </si>
  <si>
    <t xml:space="preserve">               ต้นทุนทางการเงิน</t>
  </si>
  <si>
    <t>รายได้จากการขายอสังหาริมทรัพย์</t>
  </si>
  <si>
    <t>รายได้ค่าปรึกษาและบริการ</t>
  </si>
  <si>
    <t>รวมรายได้</t>
  </si>
  <si>
    <t>ส่วนแบ่งขาดทุนจากเงินลงทุนใน</t>
  </si>
  <si>
    <t xml:space="preserve">      บริษัทร่วมตามวิธีส่วนได้เสีย</t>
  </si>
  <si>
    <t>รวมค่าใช้จ่าย</t>
  </si>
  <si>
    <t xml:space="preserve">               เงินสดรับ(จ่าย)จากการดำเนินงาน</t>
  </si>
  <si>
    <t xml:space="preserve">               จ่ายดอกเบี้ย</t>
  </si>
  <si>
    <t xml:space="preserve">               จ่ายภาษีเงินได้</t>
  </si>
  <si>
    <t>ออกและ</t>
  </si>
  <si>
    <t>ชำระแล้ว</t>
  </si>
  <si>
    <t xml:space="preserve">ส่วนเกิน </t>
  </si>
  <si>
    <t>(ต่ำกว่า)</t>
  </si>
  <si>
    <t>(หน่วย  :   บาท)</t>
  </si>
  <si>
    <t xml:space="preserve">               เงินกู้ยืมระยะยาวเพิ่มขึ้น(ลดลง)</t>
  </si>
  <si>
    <t xml:space="preserve">               ขายยานพาหนะ และอุปกรณ์สำนักงาน</t>
  </si>
  <si>
    <t>งบแสดงฐานะการเงิน</t>
  </si>
  <si>
    <t xml:space="preserve">     อสังหาริมทรัพย์เพื่อการลงทุน</t>
  </si>
  <si>
    <t xml:space="preserve">   องค์ประกอบอื่นของส่วนของผู้ถือหุ้น</t>
  </si>
  <si>
    <t>งบกำไรขาดทุนเบ็ดเสร็จ</t>
  </si>
  <si>
    <t>จัดสรรแล้ว</t>
  </si>
  <si>
    <t>สำรอง</t>
  </si>
  <si>
    <t>ตามกฎหมาย</t>
  </si>
  <si>
    <t>ยังไม่ได้</t>
  </si>
  <si>
    <t>องค์ประกอบอื่นของส่วนของผู้ถือหุ้น</t>
  </si>
  <si>
    <t>จัดสรร</t>
  </si>
  <si>
    <t>ผลกำไร</t>
  </si>
  <si>
    <t>เงินลงทุนเผื่อขาย</t>
  </si>
  <si>
    <t>จากการวัดมูลค่า</t>
  </si>
  <si>
    <t xml:space="preserve">     อสังหาริมทรัพย์รอการขาย</t>
  </si>
  <si>
    <t>ส่วนเกินทุน</t>
  </si>
  <si>
    <t>หุ้นทุนซื้อคืน</t>
  </si>
  <si>
    <t>ของบริษัทร่วม</t>
  </si>
  <si>
    <t xml:space="preserve">     เงินประกัน</t>
  </si>
  <si>
    <t xml:space="preserve">     เงินรับล่วงหน้า</t>
  </si>
  <si>
    <t>งบแสดงฐานะการเงิน (ต่อ)</t>
  </si>
  <si>
    <t>งบกำไรขาดทุนเบ็ดเสร็จ (ต่อ)</t>
  </si>
  <si>
    <t xml:space="preserve">               เงินประกัน</t>
  </si>
  <si>
    <t xml:space="preserve">               ขายหลักทรัพย์หุ้นทุน</t>
  </si>
  <si>
    <t xml:space="preserve">               อสังหาริมทรัพย์เพื่อการลงทุน</t>
  </si>
  <si>
    <t>องค์ประกอบอื่น</t>
  </si>
  <si>
    <t>ของส่วนของผู้ถือหุ้น</t>
  </si>
  <si>
    <t xml:space="preserve">      ส่วนเกินทุนหุ้นทุนซื้อคืนของบริษัทร่วม</t>
  </si>
  <si>
    <t>ผลกำไรจากการ</t>
  </si>
  <si>
    <t>วัดมูลค่าเงินลงทุน</t>
  </si>
  <si>
    <t xml:space="preserve">     ภาระผูกพันผลประโยชน์พนักงาน</t>
  </si>
  <si>
    <t xml:space="preserve">               สินทรัพย์ไม่มีตัวตน </t>
  </si>
  <si>
    <t xml:space="preserve">               เงินรับล่วงหน้า</t>
  </si>
  <si>
    <t xml:space="preserve">               ภาระผูกพันผลประโยชน์พนักงาน</t>
  </si>
  <si>
    <t>ต้นทุนค่าบริการ</t>
  </si>
  <si>
    <t>งบแสดงการเปลี่ยนแปลงส่วนของผู้ถือหุ้น</t>
  </si>
  <si>
    <t xml:space="preserve">     ลูกหนี้การค้าและลูกหนี้อื่น-กิจการที่เกี่ยวข้องกัน</t>
  </si>
  <si>
    <t xml:space="preserve">     ลูกหนี้การค้าและลูกหนี้อื่น-อื่นๆ</t>
  </si>
  <si>
    <t xml:space="preserve">          เงินลงทุนเผื่อขาย</t>
  </si>
  <si>
    <t xml:space="preserve">          เงินลงทุนระยะยาวอื่น</t>
  </si>
  <si>
    <t xml:space="preserve">     สินค้าคงเหลือ</t>
  </si>
  <si>
    <t xml:space="preserve">     ที่ดิน อาคารและอุปกรณ์</t>
  </si>
  <si>
    <t xml:space="preserve">     สินทรัพย์ไม่มีตัวตน</t>
  </si>
  <si>
    <t xml:space="preserve">     เงินกู้ยืมระยะยาว</t>
  </si>
  <si>
    <t xml:space="preserve">     เจ้าหนี้การค้าและเจ้าหนี้อื่น</t>
  </si>
  <si>
    <t xml:space="preserve">               ลูกหนี้การค้าและลูกหนี้อื่น-กิจการที่เกี่ยวข้องกัน</t>
  </si>
  <si>
    <t xml:space="preserve">               ลูกหนี้การค้าและลูกหนี้อื่น - อื่นๆ</t>
  </si>
  <si>
    <t xml:space="preserve">               เจ้าหนี้การค้าและเจ้าหนี้อื่น</t>
  </si>
  <si>
    <t>(ยังไม่ได้ตรวจสอบ / สอบทานแล้ว)</t>
  </si>
  <si>
    <t>ผลกำไร(ขาดทุน)จากการวัดมูลค่าเงินลงทุนเผื่อขาย</t>
  </si>
  <si>
    <t xml:space="preserve">     สินทรัพย์ภาษีเงินได้รอตัดบัญชี</t>
  </si>
  <si>
    <t xml:space="preserve">     หนี้สินภาษีเงินได้รอตัดบัญชี</t>
  </si>
  <si>
    <t xml:space="preserve">   </t>
  </si>
  <si>
    <t xml:space="preserve">               (ลงชื่อ)………………….…………………………..……………………………………………กรรมการตามอำนาจ</t>
  </si>
  <si>
    <t xml:space="preserve">               (ลงชื่อ)…………………………………..………...……………………………………………กรรมการตามอำนาจ</t>
  </si>
  <si>
    <t>(ค่าใช้จ่าย)รายได้ภาษีเงินได้นิติบุคคล</t>
  </si>
  <si>
    <t xml:space="preserve">  กำไรขาดทุนเบ็ดเสร็จอื่น</t>
  </si>
  <si>
    <t>งบกระแสเงินสด (ต่อ)</t>
  </si>
  <si>
    <t>-บริษัทร่วม (สุทธิจากภาษีเงินได้)</t>
  </si>
  <si>
    <t>(สุทธิจากภาษีเงินได้)</t>
  </si>
  <si>
    <t>ผลกำไร(ขาดทุน)จากการประมาณการตามหลักคณิตศาสตร์</t>
  </si>
  <si>
    <t>สัดส่วนเงินลงทุน</t>
  </si>
  <si>
    <t>สำรองส่วนเกินทุน</t>
  </si>
  <si>
    <t>ส่วนเกินทุนจาก</t>
  </si>
  <si>
    <t>ผลต่างจากการ</t>
  </si>
  <si>
    <t>จากการจ่ายโดย</t>
  </si>
  <si>
    <t>การเปลี่ยนแปลง</t>
  </si>
  <si>
    <t>รวมทั้งสิ้น</t>
  </si>
  <si>
    <t>ใช้หุ้นเป็นเกณฑ์</t>
  </si>
  <si>
    <t>เผื่อขายของ</t>
  </si>
  <si>
    <t>บริษัทร่วม</t>
  </si>
  <si>
    <t>ในบริษัทร่วม</t>
  </si>
  <si>
    <t xml:space="preserve">    กำไรขาดทุนเบ็ดเสร็จอื่น</t>
  </si>
  <si>
    <t xml:space="preserve">    กำไรสุทธิ</t>
  </si>
  <si>
    <t>สำรองส่วนเกินทุนจากการจ่ายโดยใช้หุ้นเป็นเกณฑ์</t>
  </si>
  <si>
    <t>2558</t>
  </si>
  <si>
    <t>ผลต่างจากการแปลงค่างบการเงินของบริษัทร่วม</t>
  </si>
  <si>
    <t>(ตรวจสอบแล้ว)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</si>
  <si>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</si>
  <si>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</si>
  <si>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กำไรขาดทุนเบ็ดเสร็จอื่น :-</t>
  </si>
  <si>
    <t>สอบทานแล้ว)</t>
  </si>
  <si>
    <t>(ยังไม่ได้ตรวจสอบ/</t>
  </si>
  <si>
    <t xml:space="preserve">               (ลงชื่อ)………………………………..…………………...………………………………กรรมการตามอำนาจ</t>
  </si>
  <si>
    <t xml:space="preserve">                            (ลงชื่อ)………………………………..…………………...………………………………กรรมการตามอำนาจ</t>
  </si>
  <si>
    <t xml:space="preserve">               (ลงชื่อ)………………….………...……………………………………………กรรมการตามอำนาจ</t>
  </si>
  <si>
    <t>แปลงค่า</t>
  </si>
  <si>
    <t>งบการเงิน</t>
  </si>
  <si>
    <t xml:space="preserve">  บริษัท สหพัฒนาอินเตอร์โฮลดิ้ง จำกัด (มหาชน)</t>
  </si>
  <si>
    <t xml:space="preserve"> บริษัท  สหพัฒนาอินเตอร์โฮลดิ้ง  จำกัด  (มหาชน)</t>
  </si>
  <si>
    <t>31 ธันวาคม 2558</t>
  </si>
  <si>
    <t xml:space="preserve">               (กำไร) ขาดทุนจากการขายทรัพย์สิน</t>
  </si>
  <si>
    <t>กำไร(ขาดทุน)เบ็ดเสร็จอื่นสำหรับงวด</t>
  </si>
  <si>
    <t>กำไร(ขาดทุน)เบ็ดเสร็จรวมสำหรับงวด</t>
  </si>
  <si>
    <t xml:space="preserve">               กำไร(ขาดทุน)จากการประมาณการตามหลักคณิตศาสตร์</t>
  </si>
  <si>
    <t xml:space="preserve">                      ประกันภัย</t>
  </si>
  <si>
    <t>2559</t>
  </si>
  <si>
    <t xml:space="preserve">                        (ลงชื่อ)……………………...……………………………………………กรรมการตามอำนาจ</t>
  </si>
  <si>
    <t>เงินปันผลจ่าย</t>
  </si>
  <si>
    <t xml:space="preserve">               เงินให้กู้ยืมระยะสั้นแก่กิจการที่เกี่ยวข้องกัน</t>
  </si>
  <si>
    <t xml:space="preserve">               จ่ายเงินปันผล</t>
  </si>
  <si>
    <t>รายการกลับบัญชีผลขาดทุน</t>
  </si>
  <si>
    <t xml:space="preserve">               หนี้สงสัยจะสูญ</t>
  </si>
  <si>
    <t xml:space="preserve">               (กำไร) ขาดทุนจากเงินลงทุน</t>
  </si>
  <si>
    <t>ประกันภัยของบริษัทร่วม (สุทธิจากภาษีเงินได้)</t>
  </si>
  <si>
    <t>ประกันภัย (สุทธิจากภาษีเงินได้)</t>
  </si>
  <si>
    <t>กำไรก่อนภาษีเงินได้นิติบุคคล</t>
  </si>
  <si>
    <t>ยอดคงเหลือ ณ วันที่ 1 มกราคม  2559</t>
  </si>
  <si>
    <t>ยอดคงเหลือ ณ วันที่ 1 มกราคม  2558</t>
  </si>
  <si>
    <t>ยอดคงเหลือ ณ วันที่ 1  มกราคม  2558</t>
  </si>
  <si>
    <t>ยอดคงเหลือ ณ วันที่ 1  มกราคม  2559</t>
  </si>
  <si>
    <t xml:space="preserve">     กำไรก่อนภาษีเงินได้นิติบุคคล</t>
  </si>
  <si>
    <t xml:space="preserve">    จากการด้อยค่าของเงินลงทุน</t>
  </si>
  <si>
    <t>กำไรจากการจำหน่ายเงินลงทุน</t>
  </si>
  <si>
    <t>ขาดทุนจากการด้อยค่าของเงินลงทุน</t>
  </si>
  <si>
    <t>ขาดทุนจากการจำหน่ายเงินลงทุน</t>
  </si>
  <si>
    <t xml:space="preserve">               (กำไร) ขาดทุนจากการขายเงินลงทุน</t>
  </si>
  <si>
    <t xml:space="preserve">               รายการกลับบัญชีผลขาดทุนจากการด้อยค่าของเงินลงทุน</t>
  </si>
  <si>
    <t xml:space="preserve">               ขาดทุนจากการด้อยค่าของเงินลงทุน</t>
  </si>
  <si>
    <t>ณ  วันที่  31  ธันวาคม  2559</t>
  </si>
  <si>
    <t>31 ธันวาคม 2559</t>
  </si>
  <si>
    <t>ณ  วันที่  31 ธันวาคม  2559</t>
  </si>
  <si>
    <t>สำหรับงวด 3 เดือน  สิ้นสุดวันที่  31 ธันวาคม 2559</t>
  </si>
  <si>
    <t xml:space="preserve">    จากการด้อยค่าเงินลงทุน</t>
  </si>
  <si>
    <t xml:space="preserve">    จากการค้ำประกัน</t>
  </si>
  <si>
    <t>ขาดทุนจากการด้อยค่าเงินลงทุน</t>
  </si>
  <si>
    <t xml:space="preserve">ประกันภัยของบริษัทร่วม </t>
  </si>
  <si>
    <t>สำหรับปี  สิ้นสุดวันที่  31 ธันวาคม 2559</t>
  </si>
  <si>
    <t>สำหรับปี  สิ้นสุดวันที่ 31 ธันวาคม 2559</t>
  </si>
  <si>
    <t>สำหรับปี  สิ้นสุดวันที่  31  ธันวาคม 2559</t>
  </si>
  <si>
    <t>ยอดคงเหลือ ณ วันที่ 31 ธันวาคม 2559</t>
  </si>
  <si>
    <t>กำไรเบ็ดเสร็จรวม สำหรับปี</t>
  </si>
  <si>
    <t>กำไรเบ็ดเสร็จรวม ลำหรับปี</t>
  </si>
  <si>
    <t>ยอดคงเหลือ ณ วันที่ 31 ธันวาคม 2558</t>
  </si>
  <si>
    <t>สำหรับปี  สิ้นสุดวันที่  31 ธันวาคม  2559</t>
  </si>
  <si>
    <t>รายการกลับบัญชีผลขาดทุนจากการ</t>
  </si>
  <si>
    <t xml:space="preserve">    ด้อยค่าอสังหาริมทรัพย์เพื่อการลงทุน</t>
  </si>
  <si>
    <t>ขาดทุนจากการด้อยค่าของ</t>
  </si>
  <si>
    <t xml:space="preserve">    อสังหาริมทรัพย์รอการขาย</t>
  </si>
  <si>
    <t xml:space="preserve">               รายการกลับบัญชีผลขาดทุนจากการด้อยค่า</t>
  </si>
  <si>
    <t xml:space="preserve">                     อสังหาริมทรัพย์เพื่อการลงทุน</t>
  </si>
  <si>
    <t xml:space="preserve">                รายการกลับบัญชีผลขาดทุนจากการค้ำประกัน</t>
  </si>
  <si>
    <t>ส่วยเกินทุนจากการเปลี่ยนแปลงสัดส่วนเงินลงทุน</t>
  </si>
  <si>
    <t xml:space="preserve">    ในบริษัทร่วม</t>
  </si>
  <si>
    <t xml:space="preserve">               ขาดทุนจากการด้อยค่าอสังหาริมทรัพย์รอการขาย</t>
  </si>
  <si>
    <t>ขาดทุนจากเงินลงทุน</t>
  </si>
  <si>
    <t>กำไรสำหรับปี</t>
  </si>
  <si>
    <t>กำไร(ขาดทุน)เบ็ดเสร็จอื่นสำหรับปี</t>
  </si>
  <si>
    <t>กำไร(ขาดทุน)เบ็ดเสร็จรวมสำหรับปี</t>
  </si>
  <si>
    <t>รายการโอนกลับค่าเผื่อหนี้สงสัยจะสูญ</t>
  </si>
  <si>
    <t>กำไร(ขาดทุน)ก่อนภาษีเงินได้นิติบุคคล</t>
  </si>
  <si>
    <t>กำไร(ขาดทุน)สำหรับงวด</t>
  </si>
  <si>
    <t>17.1, 17.2</t>
  </si>
  <si>
    <t xml:space="preserve">               รายการโอนกลับค่าเผื่อหนี้สงสัยจะสูญ</t>
  </si>
  <si>
    <t xml:space="preserve">  กำไรสุทธิ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</si>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</sst>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;\(#,##0.00\)"/>
    <numFmt numFmtId="200" formatCode="0.0"/>
    <numFmt numFmtId="201" formatCode="#,##0.00\ ;\(#,##0.00\)\ "/>
    <numFmt numFmtId="202" formatCode="#,##0.00\ ;\(#,##0.00\)"/>
    <numFmt numFmtId="203" formatCode="#,##0.0_);\(#,##0.0\)"/>
    <numFmt numFmtId="204" formatCode="_-* #,##0_-;\-* #,##0_-;_-* &quot;-&quot;??_-;_-@_-"/>
    <numFmt numFmtId="205" formatCode="_(* #,##0_);_(* \(#,##0\);_(* \-??_);_(@_)"/>
    <numFmt numFmtId="206" formatCode="_(* #,##0.00_);_(* \(#,##0.00\);_(* \-??_);_(@_)"/>
    <numFmt numFmtId="207" formatCode="_(* #,##0.00_);_(* \(#,##0.00\)"/>
    <numFmt numFmtId="208" formatCode="#,##0.00_-;\(#,##0.00\)"/>
    <numFmt numFmtId="209" formatCode="#,##0.00_);[Black]\(#,##0.00\)"/>
    <numFmt numFmtId="210" formatCode="_-* #,##0.00_-;\(#,##0.00\);0.00_-"/>
    <numFmt numFmtId="211" formatCode="#,##0.00;\(#,##0.00\);0.00"/>
    <numFmt numFmtId="212" formatCode="#,##0.00_-;\(#,##0.00\);0.00"/>
    <numFmt numFmtId="213" formatCode="#,##0.00_-;\(#,##0.00\);0.00_-"/>
    <numFmt numFmtId="214" formatCode="#,##0.00_ ;\-#,##0.00\ "/>
    <numFmt numFmtId="215" formatCode="_-* #,##0.00_-;\(#,##0.00\);_-* &quot;-&quot;??_-;_-@_-"/>
    <numFmt numFmtId="216" formatCode="_-* #,##0.00_-;\(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_ ;[Red]\-#,##0.00\ "/>
    <numFmt numFmtId="222" formatCode="#,##0.00;\(#,##0.00\)_)"/>
    <numFmt numFmtId="223" formatCode="#,##0.00_);\(#,##0.00\)\,0.00_)"/>
    <numFmt numFmtId="224" formatCode="#,##0.0_);\(#,##0.0\)\,0.00_)"/>
    <numFmt numFmtId="225" formatCode="#,##0_);\(#,##0.\)\,0.00_)"/>
    <numFmt numFmtId="226" formatCode="#,##0.00_);\(#,##0.00\);0.00_)"/>
    <numFmt numFmtId="227" formatCode="#,##0.00000000_);\(#,##0.00000000\)"/>
    <numFmt numFmtId="228" formatCode="#,##0.000000000_);\(#,##0.000000000\)"/>
    <numFmt numFmtId="229" formatCode="#,##0.0000000000_);\(#,##0.0000000000\)"/>
    <numFmt numFmtId="230" formatCode="#,##0.0_);\(#,##0.0\);0.0_)"/>
    <numFmt numFmtId="231" formatCode="#,##0.000_);\(#,##0.000\);0.000_)"/>
  </numFmts>
  <fonts count="48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sz val="16"/>
      <name val="Cordia New"/>
      <family val="2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5"/>
      <name val="Angsana New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double"/>
    </border>
    <border>
      <left/>
      <right/>
      <top/>
      <bottom style="double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39" fontId="3" fillId="0" borderId="0" xfId="86" applyNumberFormat="1" applyFont="1" applyFill="1" applyAlignment="1">
      <alignment/>
      <protection/>
    </xf>
    <xf numFmtId="39" fontId="3" fillId="0" borderId="0" xfId="86" applyNumberFormat="1" applyFont="1" applyFill="1" applyAlignment="1" applyProtection="1">
      <alignment/>
      <protection/>
    </xf>
    <xf numFmtId="39" fontId="3" fillId="0" borderId="0" xfId="86" applyNumberFormat="1" applyFont="1" applyFill="1" applyBorder="1" applyAlignment="1">
      <alignment/>
      <protection/>
    </xf>
    <xf numFmtId="199" fontId="6" fillId="0" borderId="0" xfId="86" applyNumberFormat="1" applyFont="1" applyFill="1" applyAlignment="1" applyProtection="1">
      <alignment horizontal="center"/>
      <protection/>
    </xf>
    <xf numFmtId="199" fontId="5" fillId="0" borderId="0" xfId="86" applyNumberFormat="1" applyFont="1" applyFill="1" applyAlignment="1" applyProtection="1">
      <alignment horizontal="center"/>
      <protection/>
    </xf>
    <xf numFmtId="201" fontId="5" fillId="0" borderId="0" xfId="86" applyNumberFormat="1" applyFont="1" applyFill="1" applyAlignment="1" applyProtection="1">
      <alignment horizontal="center"/>
      <protection/>
    </xf>
    <xf numFmtId="199" fontId="5" fillId="0" borderId="0" xfId="86" applyNumberFormat="1" applyFont="1" applyFill="1" applyAlignment="1">
      <alignment horizontal="center"/>
      <protection/>
    </xf>
    <xf numFmtId="40" fontId="5" fillId="0" borderId="0" xfId="0" applyNumberFormat="1" applyFont="1" applyFill="1" applyAlignment="1">
      <alignment/>
    </xf>
    <xf numFmtId="199" fontId="5" fillId="0" borderId="0" xfId="0" applyNumberFormat="1" applyFont="1" applyFill="1" applyAlignment="1">
      <alignment/>
    </xf>
    <xf numFmtId="199" fontId="5" fillId="0" borderId="0" xfId="86" applyNumberFormat="1" applyFont="1" applyFill="1" applyAlignment="1" applyProtection="1">
      <alignment horizontal="centerContinuous"/>
      <protection/>
    </xf>
    <xf numFmtId="199" fontId="6" fillId="0" borderId="0" xfId="86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>
      <alignment horizontal="center"/>
    </xf>
    <xf numFmtId="199" fontId="6" fillId="0" borderId="0" xfId="86" applyNumberFormat="1" applyFont="1" applyFill="1" applyBorder="1" applyAlignment="1">
      <alignment horizontal="center"/>
      <protection/>
    </xf>
    <xf numFmtId="199" fontId="5" fillId="0" borderId="0" xfId="86" applyNumberFormat="1" applyFont="1" applyFill="1" applyAlignment="1" applyProtection="1">
      <alignment/>
      <protection/>
    </xf>
    <xf numFmtId="1" fontId="5" fillId="0" borderId="0" xfId="86" applyNumberFormat="1" applyFont="1" applyFill="1" applyAlignment="1" quotePrefix="1">
      <alignment horizontal="center"/>
      <protection/>
    </xf>
    <xf numFmtId="201" fontId="5" fillId="0" borderId="0" xfId="86" applyNumberFormat="1" applyFont="1" applyFill="1" applyBorder="1" applyAlignment="1" applyProtection="1">
      <alignment/>
      <protection/>
    </xf>
    <xf numFmtId="199" fontId="5" fillId="0" borderId="0" xfId="86" applyNumberFormat="1" applyFont="1" applyFill="1" applyBorder="1" applyAlignment="1">
      <alignment/>
      <protection/>
    </xf>
    <xf numFmtId="1" fontId="5" fillId="0" borderId="0" xfId="0" applyNumberFormat="1" applyFont="1" applyFill="1" applyAlignment="1">
      <alignment horizontal="center"/>
    </xf>
    <xf numFmtId="201" fontId="5" fillId="0" borderId="0" xfId="0" applyNumberFormat="1" applyFont="1" applyFill="1" applyAlignment="1">
      <alignment/>
    </xf>
    <xf numFmtId="199" fontId="5" fillId="0" borderId="0" xfId="86" applyNumberFormat="1" applyFont="1" applyFill="1" applyAlignment="1" applyProtection="1">
      <alignment horizontal="left"/>
      <protection/>
    </xf>
    <xf numFmtId="199" fontId="5" fillId="0" borderId="0" xfId="86" applyNumberFormat="1" applyFont="1" applyFill="1" applyAlignment="1" quotePrefix="1">
      <alignment horizontal="center"/>
      <protection/>
    </xf>
    <xf numFmtId="199" fontId="5" fillId="0" borderId="0" xfId="86" applyNumberFormat="1" applyFont="1" applyFill="1" applyAlignment="1">
      <alignment/>
      <protection/>
    </xf>
    <xf numFmtId="0" fontId="5" fillId="0" borderId="0" xfId="0" applyFont="1" applyFill="1" applyAlignment="1">
      <alignment/>
    </xf>
    <xf numFmtId="199" fontId="5" fillId="0" borderId="0" xfId="86" applyNumberFormat="1" applyFont="1" applyFill="1" applyAlignment="1">
      <alignment horizontal="centerContinuous"/>
      <protection/>
    </xf>
    <xf numFmtId="201" fontId="5" fillId="0" borderId="0" xfId="86" applyNumberFormat="1" applyFont="1" applyFill="1" applyAlignment="1" applyProtection="1">
      <alignment horizontal="centerContinuous"/>
      <protection/>
    </xf>
    <xf numFmtId="201" fontId="5" fillId="0" borderId="0" xfId="86" applyNumberFormat="1" applyFont="1" applyFill="1" applyAlignment="1">
      <alignment/>
      <protection/>
    </xf>
    <xf numFmtId="199" fontId="5" fillId="0" borderId="0" xfId="0" applyNumberFormat="1" applyFont="1" applyFill="1" applyAlignment="1">
      <alignment horizontal="center"/>
    </xf>
    <xf numFmtId="199" fontId="5" fillId="0" borderId="0" xfId="42" applyNumberFormat="1" applyFont="1" applyFill="1" applyAlignment="1" quotePrefix="1">
      <alignment horizontal="center"/>
    </xf>
    <xf numFmtId="39" fontId="5" fillId="0" borderId="0" xfId="86" applyFont="1" applyFill="1" applyAlignment="1">
      <alignment/>
      <protection/>
    </xf>
    <xf numFmtId="39" fontId="5" fillId="0" borderId="0" xfId="86" applyNumberFormat="1" applyFont="1" applyFill="1" applyAlignment="1">
      <alignment/>
      <protection/>
    </xf>
    <xf numFmtId="43" fontId="5" fillId="0" borderId="0" xfId="42" applyFont="1" applyFill="1" applyAlignment="1">
      <alignment/>
    </xf>
    <xf numFmtId="39" fontId="4" fillId="0" borderId="0" xfId="86" applyNumberFormat="1" applyFont="1" applyFill="1" applyBorder="1" applyAlignment="1">
      <alignment horizontal="center"/>
      <protection/>
    </xf>
    <xf numFmtId="39" fontId="3" fillId="0" borderId="0" xfId="86" applyNumberFormat="1" applyFont="1" applyFill="1" applyAlignment="1" applyProtection="1">
      <alignment horizontal="center"/>
      <protection/>
    </xf>
    <xf numFmtId="39" fontId="4" fillId="0" borderId="10" xfId="86" applyNumberFormat="1" applyFont="1" applyFill="1" applyBorder="1" applyAlignment="1" applyProtection="1">
      <alignment horizontal="centerContinuous"/>
      <protection/>
    </xf>
    <xf numFmtId="39" fontId="3" fillId="0" borderId="0" xfId="77" applyNumberFormat="1" applyFont="1" applyFill="1" applyAlignment="1">
      <alignment/>
      <protection/>
    </xf>
    <xf numFmtId="39" fontId="4" fillId="0" borderId="0" xfId="77" applyNumberFormat="1" applyFont="1" applyFill="1" applyAlignment="1">
      <alignment horizontal="center"/>
      <protection/>
    </xf>
    <xf numFmtId="39" fontId="4" fillId="0" borderId="10" xfId="77" applyNumberFormat="1" applyFont="1" applyFill="1" applyBorder="1" applyAlignment="1">
      <alignment/>
      <protection/>
    </xf>
    <xf numFmtId="39" fontId="3" fillId="0" borderId="0" xfId="77" applyNumberFormat="1" applyFont="1" applyFill="1" applyBorder="1" applyAlignment="1">
      <alignment/>
      <protection/>
    </xf>
    <xf numFmtId="39" fontId="3" fillId="0" borderId="0" xfId="77" applyNumberFormat="1" applyFont="1" applyFill="1">
      <alignment/>
      <protection/>
    </xf>
    <xf numFmtId="39" fontId="3" fillId="0" borderId="0" xfId="86" applyNumberFormat="1" applyFont="1" applyFill="1" applyAlignment="1">
      <alignment horizontal="centerContinuous"/>
      <protection/>
    </xf>
    <xf numFmtId="39" fontId="0" fillId="0" borderId="0" xfId="77" applyNumberFormat="1" applyFont="1" applyFill="1">
      <alignment/>
      <protection/>
    </xf>
    <xf numFmtId="39" fontId="0" fillId="0" borderId="0" xfId="77" applyNumberFormat="1" applyFill="1">
      <alignment/>
      <protection/>
    </xf>
    <xf numFmtId="39" fontId="3" fillId="0" borderId="0" xfId="86" applyNumberFormat="1" applyFont="1" applyFill="1" applyAlignment="1" applyProtection="1">
      <alignment horizontal="centerContinuous"/>
      <protection/>
    </xf>
    <xf numFmtId="39" fontId="8" fillId="0" borderId="0" xfId="77" applyNumberFormat="1" applyFont="1" applyFill="1">
      <alignment/>
      <protection/>
    </xf>
    <xf numFmtId="39" fontId="5" fillId="0" borderId="0" xfId="77" applyNumberFormat="1" applyFont="1" applyFill="1" applyAlignment="1">
      <alignment horizontal="center"/>
      <protection/>
    </xf>
    <xf numFmtId="39" fontId="3" fillId="0" borderId="10" xfId="86" applyNumberFormat="1" applyFont="1" applyFill="1" applyBorder="1" applyAlignment="1" applyProtection="1">
      <alignment horizontal="center"/>
      <protection/>
    </xf>
    <xf numFmtId="39" fontId="3" fillId="0" borderId="10" xfId="86" applyNumberFormat="1" applyFont="1" applyFill="1" applyBorder="1" applyAlignment="1">
      <alignment horizontal="center"/>
      <protection/>
    </xf>
    <xf numFmtId="39" fontId="3" fillId="0" borderId="0" xfId="86" applyNumberFormat="1" applyFont="1" applyFill="1" applyBorder="1" applyAlignment="1">
      <alignment horizontal="center"/>
      <protection/>
    </xf>
    <xf numFmtId="39" fontId="3" fillId="0" borderId="0" xfId="86" applyNumberFormat="1" applyFont="1" applyFill="1" applyBorder="1" applyAlignment="1" applyProtection="1">
      <alignment horizontal="center"/>
      <protection/>
    </xf>
    <xf numFmtId="39" fontId="0" fillId="0" borderId="0" xfId="77" applyNumberFormat="1" applyFill="1" applyBorder="1">
      <alignment/>
      <protection/>
    </xf>
    <xf numFmtId="0" fontId="3" fillId="0" borderId="0" xfId="73" applyFont="1" applyFill="1">
      <alignment/>
      <protection/>
    </xf>
    <xf numFmtId="40" fontId="3" fillId="0" borderId="0" xfId="73" applyNumberFormat="1" applyFont="1" applyFill="1" applyAlignment="1">
      <alignment/>
      <protection/>
    </xf>
    <xf numFmtId="199" fontId="3" fillId="0" borderId="0" xfId="73" applyNumberFormat="1" applyFont="1" applyFill="1" applyAlignment="1">
      <alignment/>
      <protection/>
    </xf>
    <xf numFmtId="199" fontId="3" fillId="0" borderId="0" xfId="87" applyNumberFormat="1" applyFont="1" applyFill="1" applyAlignment="1" applyProtection="1">
      <alignment horizontal="centerContinuous"/>
      <protection/>
    </xf>
    <xf numFmtId="199" fontId="3" fillId="0" borderId="0" xfId="87" applyNumberFormat="1" applyFont="1" applyFill="1">
      <alignment/>
      <protection/>
    </xf>
    <xf numFmtId="199" fontId="3" fillId="0" borderId="0" xfId="87" applyNumberFormat="1" applyFont="1" applyFill="1" applyAlignment="1" applyProtection="1">
      <alignment horizontal="left"/>
      <protection/>
    </xf>
    <xf numFmtId="199" fontId="3" fillId="0" borderId="0" xfId="87" applyNumberFormat="1" applyFont="1" applyFill="1" applyAlignment="1">
      <alignment horizontal="centerContinuous"/>
      <protection/>
    </xf>
    <xf numFmtId="199" fontId="3" fillId="0" borderId="0" xfId="86" applyNumberFormat="1" applyFont="1" applyFill="1" applyAlignment="1" applyProtection="1">
      <alignment/>
      <protection/>
    </xf>
    <xf numFmtId="39" fontId="5" fillId="0" borderId="0" xfId="73" applyNumberFormat="1" applyFont="1" applyFill="1" applyAlignment="1">
      <alignment/>
      <protection/>
    </xf>
    <xf numFmtId="39" fontId="3" fillId="0" borderId="0" xfId="77" applyNumberFormat="1" applyFont="1" applyFill="1" applyAlignment="1">
      <alignment horizontal="centerContinuous"/>
      <protection/>
    </xf>
    <xf numFmtId="39" fontId="3" fillId="0" borderId="0" xfId="86" applyNumberFormat="1" applyFont="1" applyFill="1" applyBorder="1" applyAlignment="1">
      <alignment horizontal="centerContinuous"/>
      <protection/>
    </xf>
    <xf numFmtId="39" fontId="3" fillId="0" borderId="0" xfId="77" applyNumberFormat="1" applyFont="1" applyFill="1" applyBorder="1" applyAlignment="1">
      <alignment horizontal="centerContinuous"/>
      <protection/>
    </xf>
    <xf numFmtId="39" fontId="5" fillId="0" borderId="0" xfId="0" applyNumberFormat="1" applyFont="1" applyFill="1" applyAlignment="1">
      <alignment horizontal="center"/>
    </xf>
    <xf numFmtId="39" fontId="5" fillId="0" borderId="0" xfId="86" applyNumberFormat="1" applyFont="1" applyFill="1" applyAlignment="1" applyProtection="1">
      <alignment horizontal="centerContinuous"/>
      <protection/>
    </xf>
    <xf numFmtId="39" fontId="5" fillId="0" borderId="0" xfId="86" applyNumberFormat="1" applyFont="1" applyFill="1" applyAlignment="1" applyProtection="1">
      <alignment/>
      <protection/>
    </xf>
    <xf numFmtId="39" fontId="5" fillId="0" borderId="0" xfId="0" applyNumberFormat="1" applyFont="1" applyFill="1" applyAlignment="1">
      <alignment/>
    </xf>
    <xf numFmtId="1" fontId="5" fillId="0" borderId="0" xfId="86" applyNumberFormat="1" applyFont="1" applyFill="1" applyBorder="1" applyAlignment="1" quotePrefix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5" fillId="0" borderId="0" xfId="86" applyNumberFormat="1" applyFont="1" applyFill="1" applyBorder="1" applyAlignment="1">
      <alignment horizontal="center"/>
      <protection/>
    </xf>
    <xf numFmtId="199" fontId="5" fillId="0" borderId="0" xfId="0" applyNumberFormat="1" applyFont="1" applyFill="1" applyBorder="1" applyAlignment="1">
      <alignment horizontal="center"/>
    </xf>
    <xf numFmtId="39" fontId="3" fillId="0" borderId="0" xfId="87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 indent="3"/>
      <protection hidden="1"/>
    </xf>
    <xf numFmtId="204" fontId="11" fillId="0" borderId="0" xfId="42" applyNumberFormat="1" applyFont="1" applyFill="1" applyBorder="1" applyAlignment="1" applyProtection="1">
      <alignment horizontal="right" vertical="center"/>
      <protection hidden="1"/>
    </xf>
    <xf numFmtId="206" fontId="11" fillId="0" borderId="0" xfId="0" applyNumberFormat="1" applyFont="1" applyFill="1" applyBorder="1" applyAlignment="1" applyProtection="1">
      <alignment horizontal="right" vertical="center"/>
      <protection hidden="1"/>
    </xf>
    <xf numFmtId="205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206" fontId="11" fillId="0" borderId="0" xfId="0" applyNumberFormat="1" applyFont="1" applyFill="1" applyAlignment="1" applyProtection="1">
      <alignment horizontal="right" vertical="center"/>
      <protection hidden="1"/>
    </xf>
    <xf numFmtId="39" fontId="5" fillId="0" borderId="0" xfId="77" applyNumberFormat="1" applyFont="1" applyFill="1" applyBorder="1" applyAlignment="1">
      <alignment horizontal="center"/>
      <protection/>
    </xf>
    <xf numFmtId="39" fontId="3" fillId="0" borderId="11" xfId="86" applyNumberFormat="1" applyFont="1" applyFill="1" applyBorder="1" applyAlignment="1" applyProtection="1">
      <alignment horizontal="center"/>
      <protection/>
    </xf>
    <xf numFmtId="39" fontId="3" fillId="0" borderId="12" xfId="86" applyNumberFormat="1" applyFont="1" applyFill="1" applyBorder="1" applyAlignment="1" applyProtection="1">
      <alignment horizontal="centerContinuous"/>
      <protection/>
    </xf>
    <xf numFmtId="39" fontId="3" fillId="0" borderId="11" xfId="86" applyNumberFormat="1" applyFont="1" applyFill="1" applyBorder="1" applyAlignment="1">
      <alignment horizontal="center"/>
      <protection/>
    </xf>
    <xf numFmtId="39" fontId="3" fillId="0" borderId="0" xfId="77" applyNumberFormat="1" applyFont="1" applyFill="1" applyBorder="1" applyAlignment="1">
      <alignment horizontal="center"/>
      <protection/>
    </xf>
    <xf numFmtId="39" fontId="3" fillId="0" borderId="10" xfId="77" applyNumberFormat="1" applyFont="1" applyFill="1" applyBorder="1" applyAlignment="1">
      <alignment horizontal="center"/>
      <protection/>
    </xf>
    <xf numFmtId="39" fontId="3" fillId="0" borderId="10" xfId="86" applyNumberFormat="1" applyFont="1" applyFill="1" applyBorder="1" applyAlignment="1" applyProtection="1">
      <alignment horizontal="centerContinuous"/>
      <protection/>
    </xf>
    <xf numFmtId="39" fontId="3" fillId="0" borderId="0" xfId="86" applyNumberFormat="1" applyFont="1" applyFill="1" applyBorder="1" applyAlignment="1" applyProtection="1">
      <alignment horizontal="centerContinuous"/>
      <protection/>
    </xf>
    <xf numFmtId="39" fontId="3" fillId="0" borderId="11" xfId="77" applyNumberFormat="1" applyFont="1" applyFill="1" applyBorder="1" applyAlignment="1">
      <alignment/>
      <protection/>
    </xf>
    <xf numFmtId="39" fontId="5" fillId="0" borderId="0" xfId="73" applyNumberFormat="1" applyFont="1" applyFill="1" applyBorder="1" applyAlignment="1">
      <alignment/>
      <protection/>
    </xf>
    <xf numFmtId="39" fontId="5" fillId="0" borderId="0" xfId="86" applyNumberFormat="1" applyFont="1" applyFill="1" applyBorder="1" applyAlignment="1">
      <alignment/>
      <protection/>
    </xf>
    <xf numFmtId="201" fontId="6" fillId="0" borderId="0" xfId="0" applyNumberFormat="1" applyFont="1" applyFill="1" applyBorder="1" applyAlignment="1">
      <alignment horizontal="center"/>
    </xf>
    <xf numFmtId="39" fontId="6" fillId="0" borderId="11" xfId="86" applyNumberFormat="1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 horizontal="centerContinuous"/>
    </xf>
    <xf numFmtId="39" fontId="3" fillId="0" borderId="0" xfId="77" applyNumberFormat="1" applyFont="1" applyFill="1" applyAlignment="1" quotePrefix="1">
      <alignment horizontal="centerContinuous"/>
      <protection/>
    </xf>
    <xf numFmtId="39" fontId="3" fillId="0" borderId="11" xfId="86" applyNumberFormat="1" applyFont="1" applyFill="1" applyBorder="1" applyAlignment="1" applyProtection="1">
      <alignment horizontal="centerContinuous"/>
      <protection/>
    </xf>
    <xf numFmtId="39" fontId="12" fillId="0" borderId="11" xfId="86" applyNumberFormat="1" applyFont="1" applyFill="1" applyBorder="1" applyAlignment="1" applyProtection="1">
      <alignment horizontal="centerContinuous"/>
      <protection/>
    </xf>
    <xf numFmtId="39" fontId="12" fillId="0" borderId="10" xfId="86" applyNumberFormat="1" applyFont="1" applyFill="1" applyBorder="1" applyAlignment="1" applyProtection="1">
      <alignment horizontal="centerContinuous"/>
      <protection/>
    </xf>
    <xf numFmtId="39" fontId="3" fillId="0" borderId="0" xfId="86" applyNumberFormat="1" applyFont="1" applyFill="1" applyAlignment="1" applyProtection="1">
      <alignment vertical="center"/>
      <protection/>
    </xf>
    <xf numFmtId="39" fontId="3" fillId="0" borderId="0" xfId="86" applyNumberFormat="1" applyFont="1" applyFill="1" applyAlignment="1">
      <alignment horizontal="centerContinuous" vertical="center"/>
      <protection/>
    </xf>
    <xf numFmtId="39" fontId="3" fillId="0" borderId="0" xfId="77" applyNumberFormat="1" applyFont="1" applyFill="1" applyAlignment="1">
      <alignment vertical="center"/>
      <protection/>
    </xf>
    <xf numFmtId="39" fontId="3" fillId="0" borderId="0" xfId="86" applyNumberFormat="1" applyFont="1" applyFill="1" applyAlignment="1" applyProtection="1">
      <alignment horizontal="center" vertical="center"/>
      <protection/>
    </xf>
    <xf numFmtId="39" fontId="4" fillId="0" borderId="0" xfId="77" applyNumberFormat="1" applyFont="1" applyFill="1" applyAlignment="1">
      <alignment horizontal="center" vertical="center"/>
      <protection/>
    </xf>
    <xf numFmtId="39" fontId="4" fillId="0" borderId="10" xfId="86" applyNumberFormat="1" applyFont="1" applyFill="1" applyBorder="1" applyAlignment="1" applyProtection="1">
      <alignment horizontal="centerContinuous" vertical="center"/>
      <protection/>
    </xf>
    <xf numFmtId="39" fontId="4" fillId="0" borderId="10" xfId="77" applyNumberFormat="1" applyFont="1" applyFill="1" applyBorder="1" applyAlignment="1">
      <alignment vertical="center"/>
      <protection/>
    </xf>
    <xf numFmtId="39" fontId="3" fillId="0" borderId="0" xfId="86" applyNumberFormat="1" applyFont="1" applyFill="1" applyAlignment="1">
      <alignment vertical="center"/>
      <protection/>
    </xf>
    <xf numFmtId="39" fontId="4" fillId="0" borderId="0" xfId="86" applyNumberFormat="1" applyFont="1" applyFill="1" applyBorder="1" applyAlignment="1">
      <alignment horizontal="center" vertical="center"/>
      <protection/>
    </xf>
    <xf numFmtId="39" fontId="4" fillId="0" borderId="11" xfId="86" applyNumberFormat="1" applyFont="1" applyFill="1" applyBorder="1" applyAlignment="1" applyProtection="1" quotePrefix="1">
      <alignment horizontal="center" vertical="center"/>
      <protection/>
    </xf>
    <xf numFmtId="39" fontId="4" fillId="0" borderId="11" xfId="86" applyNumberFormat="1" applyFont="1" applyFill="1" applyBorder="1" applyAlignment="1" applyProtection="1">
      <alignment horizontal="center" vertical="center"/>
      <protection/>
    </xf>
    <xf numFmtId="39" fontId="4" fillId="0" borderId="0" xfId="86" applyNumberFormat="1" applyFont="1" applyFill="1" applyAlignment="1" applyProtection="1">
      <alignment vertical="center"/>
      <protection/>
    </xf>
    <xf numFmtId="0" fontId="3" fillId="0" borderId="0" xfId="86" applyNumberFormat="1" applyFont="1" applyFill="1" applyBorder="1" applyAlignment="1">
      <alignment vertical="center"/>
      <protection/>
    </xf>
    <xf numFmtId="39" fontId="3" fillId="0" borderId="0" xfId="77" applyNumberFormat="1" applyFont="1" applyFill="1" applyBorder="1" applyAlignment="1">
      <alignment vertical="center"/>
      <protection/>
    </xf>
    <xf numFmtId="37" fontId="3" fillId="0" borderId="0" xfId="86" applyNumberFormat="1" applyFont="1" applyFill="1" applyAlignment="1" applyProtection="1">
      <alignment vertical="center"/>
      <protection/>
    </xf>
    <xf numFmtId="0" fontId="3" fillId="0" borderId="0" xfId="77" applyNumberFormat="1" applyFont="1" applyFill="1" applyBorder="1" applyAlignment="1">
      <alignment vertical="center"/>
      <protection/>
    </xf>
    <xf numFmtId="0" fontId="3" fillId="0" borderId="0" xfId="86" applyNumberFormat="1" applyFont="1" applyFill="1" applyBorder="1" applyAlignment="1" quotePrefix="1">
      <alignment horizontal="center" vertical="center"/>
      <protection/>
    </xf>
    <xf numFmtId="39" fontId="3" fillId="0" borderId="0" xfId="86" applyNumberFormat="1" applyFont="1" applyFill="1" applyBorder="1" applyAlignment="1">
      <alignment vertical="center"/>
      <protection/>
    </xf>
    <xf numFmtId="0" fontId="3" fillId="0" borderId="0" xfId="86" applyNumberFormat="1" applyFont="1" applyFill="1" applyBorder="1" applyAlignment="1">
      <alignment horizontal="center" vertical="center"/>
      <protection/>
    </xf>
    <xf numFmtId="37" fontId="4" fillId="0" borderId="0" xfId="86" applyNumberFormat="1" applyFont="1" applyFill="1" applyAlignment="1" applyProtection="1">
      <alignment vertical="center"/>
      <protection/>
    </xf>
    <xf numFmtId="39" fontId="3" fillId="0" borderId="0" xfId="86" applyNumberFormat="1" applyFont="1" applyFill="1" applyAlignment="1" applyProtection="1">
      <alignment vertical="top"/>
      <protection/>
    </xf>
    <xf numFmtId="49" fontId="6" fillId="0" borderId="11" xfId="86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39" fontId="3" fillId="0" borderId="0" xfId="86" applyFont="1" applyFill="1" applyAlignment="1" applyProtection="1">
      <alignment/>
      <protection/>
    </xf>
    <xf numFmtId="39" fontId="5" fillId="0" borderId="0" xfId="73" applyNumberFormat="1" applyFont="1" applyFill="1">
      <alignment/>
      <protection/>
    </xf>
    <xf numFmtId="39" fontId="3" fillId="0" borderId="11" xfId="86" applyNumberFormat="1" applyFont="1" applyFill="1" applyBorder="1" applyAlignment="1">
      <alignment/>
      <protection/>
    </xf>
    <xf numFmtId="39" fontId="3" fillId="0" borderId="0" xfId="87" applyNumberFormat="1" applyFont="1" applyFill="1" applyAlignment="1" applyProtection="1">
      <alignment horizontal="centerContinuous"/>
      <protection/>
    </xf>
    <xf numFmtId="39" fontId="3" fillId="0" borderId="0" xfId="73" applyNumberFormat="1" applyFont="1" applyFill="1" applyAlignment="1">
      <alignment/>
      <protection/>
    </xf>
    <xf numFmtId="39" fontId="4" fillId="0" borderId="0" xfId="87" applyNumberFormat="1" applyFont="1" applyFill="1" applyAlignment="1" applyProtection="1">
      <alignment horizontal="centerContinuous"/>
      <protection/>
    </xf>
    <xf numFmtId="39" fontId="4" fillId="0" borderId="10" xfId="86" applyNumberFormat="1" applyFont="1" applyFill="1" applyBorder="1" applyAlignment="1" applyProtection="1">
      <alignment horizontal="center"/>
      <protection/>
    </xf>
    <xf numFmtId="39" fontId="4" fillId="0" borderId="10" xfId="86" applyNumberFormat="1" applyFont="1" applyFill="1" applyBorder="1" applyAlignment="1" applyProtection="1">
      <alignment horizontal="right"/>
      <protection/>
    </xf>
    <xf numFmtId="39" fontId="4" fillId="0" borderId="0" xfId="73" applyNumberFormat="1" applyFont="1" applyFill="1" applyAlignment="1">
      <alignment/>
      <protection/>
    </xf>
    <xf numFmtId="39" fontId="4" fillId="0" borderId="11" xfId="86" applyNumberFormat="1" applyFont="1" applyFill="1" applyBorder="1" applyAlignment="1" applyProtection="1" quotePrefix="1">
      <alignment horizontal="center"/>
      <protection/>
    </xf>
    <xf numFmtId="39" fontId="4" fillId="0" borderId="11" xfId="86" applyNumberFormat="1" applyFont="1" applyFill="1" applyBorder="1" applyAlignment="1" applyProtection="1">
      <alignment horizontal="center"/>
      <protection/>
    </xf>
    <xf numFmtId="39" fontId="3" fillId="0" borderId="0" xfId="87" applyNumberFormat="1" applyFont="1" applyFill="1">
      <alignment/>
      <protection/>
    </xf>
    <xf numFmtId="39" fontId="5" fillId="0" borderId="0" xfId="86" applyNumberFormat="1" applyFont="1" applyFill="1" applyBorder="1" applyAlignment="1" applyProtection="1">
      <alignment/>
      <protection/>
    </xf>
    <xf numFmtId="199" fontId="5" fillId="0" borderId="0" xfId="51" applyNumberFormat="1" applyFont="1" applyFill="1" applyBorder="1" applyAlignment="1">
      <alignment/>
    </xf>
    <xf numFmtId="0" fontId="11" fillId="0" borderId="0" xfId="0" applyFont="1" applyFill="1" applyAlignment="1" applyProtection="1" quotePrefix="1">
      <alignment horizontal="left" vertical="center"/>
      <protection hidden="1"/>
    </xf>
    <xf numFmtId="39" fontId="3" fillId="0" borderId="0" xfId="77" applyNumberFormat="1" applyFont="1" applyFill="1" applyAlignment="1">
      <alignment horizontal="left"/>
      <protection/>
    </xf>
    <xf numFmtId="39" fontId="13" fillId="0" borderId="0" xfId="77" applyNumberFormat="1" applyFont="1" applyFill="1" applyAlignment="1" quotePrefix="1">
      <alignment horizontal="left"/>
      <protection/>
    </xf>
    <xf numFmtId="207" fontId="3" fillId="0" borderId="0" xfId="86" applyNumberFormat="1" applyFont="1" applyFill="1" applyBorder="1" applyAlignment="1" applyProtection="1">
      <alignment/>
      <protection/>
    </xf>
    <xf numFmtId="207" fontId="5" fillId="0" borderId="0" xfId="86" applyNumberFormat="1" applyFont="1" applyFill="1" applyBorder="1" applyAlignment="1">
      <alignment/>
      <protection/>
    </xf>
    <xf numFmtId="207" fontId="5" fillId="0" borderId="0" xfId="42" applyNumberFormat="1" applyFont="1" applyFill="1" applyBorder="1" applyAlignment="1" applyProtection="1">
      <alignment horizontal="center"/>
      <protection/>
    </xf>
    <xf numFmtId="207" fontId="5" fillId="0" borderId="0" xfId="0" applyNumberFormat="1" applyFont="1" applyFill="1" applyBorder="1" applyAlignment="1">
      <alignment/>
    </xf>
    <xf numFmtId="207" fontId="5" fillId="0" borderId="0" xfId="0" applyNumberFormat="1" applyFont="1" applyFill="1" applyAlignment="1">
      <alignment/>
    </xf>
    <xf numFmtId="207" fontId="5" fillId="0" borderId="0" xfId="86" applyNumberFormat="1" applyFont="1" applyFill="1" applyBorder="1" applyAlignment="1" applyProtection="1">
      <alignment/>
      <protection/>
    </xf>
    <xf numFmtId="207" fontId="5" fillId="0" borderId="12" xfId="86" applyNumberFormat="1" applyFont="1" applyFill="1" applyBorder="1" applyAlignment="1" applyProtection="1">
      <alignment/>
      <protection/>
    </xf>
    <xf numFmtId="207" fontId="3" fillId="0" borderId="0" xfId="86" applyNumberFormat="1" applyFont="1" applyFill="1" applyBorder="1" applyAlignment="1" applyProtection="1">
      <alignment horizontal="right"/>
      <protection/>
    </xf>
    <xf numFmtId="207" fontId="5" fillId="0" borderId="0" xfId="86" applyNumberFormat="1" applyFont="1" applyFill="1" applyBorder="1" applyAlignment="1">
      <alignment horizontal="right"/>
      <protection/>
    </xf>
    <xf numFmtId="207" fontId="5" fillId="0" borderId="0" xfId="42" applyNumberFormat="1" applyFont="1" applyFill="1" applyBorder="1" applyAlignment="1" applyProtection="1">
      <alignment horizontal="right"/>
      <protection/>
    </xf>
    <xf numFmtId="207" fontId="5" fillId="0" borderId="0" xfId="0" applyNumberFormat="1" applyFont="1" applyFill="1" applyAlignment="1">
      <alignment horizontal="right"/>
    </xf>
    <xf numFmtId="207" fontId="5" fillId="0" borderId="12" xfId="42" applyNumberFormat="1" applyFont="1" applyFill="1" applyBorder="1" applyAlignment="1" applyProtection="1">
      <alignment horizontal="right"/>
      <protection/>
    </xf>
    <xf numFmtId="207" fontId="6" fillId="0" borderId="0" xfId="42" applyNumberFormat="1" applyFont="1" applyFill="1" applyBorder="1" applyAlignment="1" applyProtection="1">
      <alignment horizontal="right"/>
      <protection/>
    </xf>
    <xf numFmtId="207" fontId="6" fillId="0" borderId="0" xfId="42" applyNumberFormat="1" applyFont="1" applyFill="1" applyBorder="1" applyAlignment="1">
      <alignment horizontal="right"/>
    </xf>
    <xf numFmtId="207" fontId="5" fillId="0" borderId="12" xfId="86" applyNumberFormat="1" applyFont="1" applyFill="1" applyBorder="1" applyAlignment="1" applyProtection="1">
      <alignment horizontal="right"/>
      <protection/>
    </xf>
    <xf numFmtId="207" fontId="5" fillId="0" borderId="13" xfId="42" applyNumberFormat="1" applyFont="1" applyFill="1" applyBorder="1" applyAlignment="1" applyProtection="1">
      <alignment horizontal="center"/>
      <protection/>
    </xf>
    <xf numFmtId="207" fontId="6" fillId="0" borderId="0" xfId="86" applyNumberFormat="1" applyFont="1" applyFill="1" applyBorder="1" applyAlignment="1" applyProtection="1">
      <alignment horizontal="center"/>
      <protection/>
    </xf>
    <xf numFmtId="207" fontId="6" fillId="0" borderId="0" xfId="86" applyNumberFormat="1" applyFont="1" applyFill="1" applyBorder="1" applyAlignment="1">
      <alignment horizontal="center"/>
      <protection/>
    </xf>
    <xf numFmtId="207" fontId="5" fillId="0" borderId="0" xfId="42" applyNumberFormat="1" applyFont="1" applyFill="1" applyBorder="1" applyAlignment="1">
      <alignment/>
    </xf>
    <xf numFmtId="207" fontId="5" fillId="0" borderId="10" xfId="86" applyNumberFormat="1" applyFont="1" applyFill="1" applyBorder="1" applyAlignment="1" applyProtection="1">
      <alignment/>
      <protection/>
    </xf>
    <xf numFmtId="207" fontId="5" fillId="0" borderId="14" xfId="86" applyNumberFormat="1" applyFont="1" applyFill="1" applyBorder="1" applyAlignment="1" applyProtection="1">
      <alignment/>
      <protection/>
    </xf>
    <xf numFmtId="207" fontId="5" fillId="0" borderId="15" xfId="86" applyNumberFormat="1" applyFont="1" applyFill="1" applyBorder="1" applyAlignment="1">
      <alignment/>
      <protection/>
    </xf>
    <xf numFmtId="207" fontId="5" fillId="0" borderId="0" xfId="86" applyNumberFormat="1" applyFont="1" applyFill="1" applyAlignment="1">
      <alignment/>
      <protection/>
    </xf>
    <xf numFmtId="39" fontId="5" fillId="0" borderId="11" xfId="86" applyNumberFormat="1" applyFont="1" applyFill="1" applyBorder="1" applyAlignment="1" applyProtection="1">
      <alignment horizontal="center"/>
      <protection/>
    </xf>
    <xf numFmtId="39" fontId="5" fillId="0" borderId="11" xfId="86" applyNumberFormat="1" applyFont="1" applyFill="1" applyBorder="1" applyAlignment="1">
      <alignment horizontal="center"/>
      <protection/>
    </xf>
    <xf numFmtId="39" fontId="5" fillId="0" borderId="0" xfId="86" applyNumberFormat="1" applyFont="1" applyFill="1" applyBorder="1" applyAlignment="1" applyProtection="1">
      <alignment horizontal="center"/>
      <protection/>
    </xf>
    <xf numFmtId="39" fontId="5" fillId="0" borderId="0" xfId="86" applyNumberFormat="1" applyFont="1" applyFill="1" applyBorder="1" applyAlignment="1">
      <alignment horizontal="center"/>
      <protection/>
    </xf>
    <xf numFmtId="39" fontId="5" fillId="0" borderId="10" xfId="86" applyNumberFormat="1" applyFont="1" applyFill="1" applyBorder="1" applyAlignment="1" applyProtection="1">
      <alignment horizontal="center"/>
      <protection/>
    </xf>
    <xf numFmtId="39" fontId="5" fillId="0" borderId="10" xfId="86" applyNumberFormat="1" applyFont="1" applyFill="1" applyBorder="1" applyAlignment="1">
      <alignment horizontal="center"/>
      <protection/>
    </xf>
    <xf numFmtId="39" fontId="5" fillId="0" borderId="0" xfId="73" applyNumberFormat="1" applyFont="1" applyFill="1" applyBorder="1">
      <alignment/>
      <protection/>
    </xf>
    <xf numFmtId="39" fontId="5" fillId="0" borderId="0" xfId="51" applyNumberFormat="1" applyFont="1" applyFill="1" applyAlignment="1">
      <alignment/>
    </xf>
    <xf numFmtId="1" fontId="5" fillId="0" borderId="0" xfId="86" applyNumberFormat="1" applyFont="1" applyFill="1" applyAlignment="1" applyProtection="1">
      <alignment horizontal="center"/>
      <protection/>
    </xf>
    <xf numFmtId="1" fontId="5" fillId="0" borderId="0" xfId="42" applyNumberFormat="1" applyFont="1" applyFill="1" applyAlignment="1" applyProtection="1">
      <alignment horizontal="center"/>
      <protection/>
    </xf>
    <xf numFmtId="1" fontId="5" fillId="0" borderId="0" xfId="42" applyNumberFormat="1" applyFont="1" applyFill="1" applyAlignment="1">
      <alignment horizontal="center"/>
    </xf>
    <xf numFmtId="206" fontId="11" fillId="0" borderId="0" xfId="0" applyNumberFormat="1" applyFont="1" applyFill="1" applyAlignment="1" applyProtection="1">
      <alignment horizontal="left" vertical="center"/>
      <protection hidden="1"/>
    </xf>
    <xf numFmtId="39" fontId="3" fillId="0" borderId="0" xfId="77" applyNumberFormat="1" applyFont="1" applyFill="1" applyAlignment="1">
      <alignment horizontal="center"/>
      <protection/>
    </xf>
    <xf numFmtId="200" fontId="5" fillId="0" borderId="0" xfId="86" applyNumberFormat="1" applyFont="1" applyFill="1" applyAlignment="1" applyProtection="1">
      <alignment horizontal="center"/>
      <protection/>
    </xf>
    <xf numFmtId="39" fontId="3" fillId="0" borderId="0" xfId="77" applyNumberFormat="1" applyFont="1" applyFill="1" applyBorder="1" applyAlignment="1">
      <alignment horizontal="center" vertical="center"/>
      <protection/>
    </xf>
    <xf numFmtId="203" fontId="3" fillId="0" borderId="0" xfId="77" applyNumberFormat="1" applyFont="1" applyFill="1" applyBorder="1" applyAlignment="1">
      <alignment horizontal="center" vertical="center"/>
      <protection/>
    </xf>
    <xf numFmtId="210" fontId="3" fillId="0" borderId="0" xfId="77" applyNumberFormat="1" applyFont="1" applyFill="1" applyBorder="1" applyAlignment="1">
      <alignment/>
      <protection/>
    </xf>
    <xf numFmtId="210" fontId="5" fillId="0" borderId="0" xfId="0" applyNumberFormat="1" applyFont="1" applyFill="1" applyBorder="1" applyAlignment="1">
      <alignment/>
    </xf>
    <xf numFmtId="210" fontId="11" fillId="0" borderId="0" xfId="42" applyNumberFormat="1" applyFont="1" applyFill="1" applyBorder="1" applyAlignment="1" applyProtection="1">
      <alignment horizontal="right" vertical="center"/>
      <protection hidden="1"/>
    </xf>
    <xf numFmtId="39" fontId="11" fillId="0" borderId="0" xfId="42" applyNumberFormat="1" applyFont="1" applyFill="1" applyBorder="1" applyAlignment="1" applyProtection="1">
      <alignment horizontal="right" vertical="center"/>
      <protection hidden="1"/>
    </xf>
    <xf numFmtId="39" fontId="3" fillId="0" borderId="0" xfId="42" applyNumberFormat="1" applyFont="1" applyFill="1" applyBorder="1" applyAlignment="1" applyProtection="1">
      <alignment horizontal="right"/>
      <protection/>
    </xf>
    <xf numFmtId="39" fontId="3" fillId="0" borderId="0" xfId="42" applyNumberFormat="1" applyFont="1" applyFill="1" applyAlignment="1">
      <alignment horizontal="right" vertical="center"/>
    </xf>
    <xf numFmtId="202" fontId="3" fillId="0" borderId="0" xfId="87" applyNumberFormat="1" applyFont="1" applyFill="1" applyBorder="1">
      <alignment/>
      <protection/>
    </xf>
    <xf numFmtId="199" fontId="3" fillId="0" borderId="0" xfId="73" applyNumberFormat="1" applyFont="1" applyFill="1" applyBorder="1" applyAlignment="1">
      <alignment/>
      <protection/>
    </xf>
    <xf numFmtId="202" fontId="3" fillId="0" borderId="0" xfId="87" applyNumberFormat="1" applyFont="1" applyFill="1" applyBorder="1" applyAlignment="1">
      <alignment horizontal="center"/>
      <protection/>
    </xf>
    <xf numFmtId="202" fontId="3" fillId="0" borderId="0" xfId="87" applyNumberFormat="1" applyFont="1" applyFill="1" applyBorder="1" applyAlignment="1" applyProtection="1">
      <alignment horizontal="right"/>
      <protection/>
    </xf>
    <xf numFmtId="202" fontId="3" fillId="0" borderId="0" xfId="73" applyNumberFormat="1" applyFont="1" applyFill="1" applyBorder="1" applyAlignment="1">
      <alignment horizontal="right"/>
      <protection/>
    </xf>
    <xf numFmtId="202" fontId="5" fillId="0" borderId="0" xfId="73" applyNumberFormat="1" applyFont="1" applyFill="1" applyBorder="1" applyAlignment="1">
      <alignment horizontal="right"/>
      <protection/>
    </xf>
    <xf numFmtId="202" fontId="3" fillId="0" borderId="0" xfId="48" applyNumberFormat="1" applyFont="1" applyFill="1" applyBorder="1" applyAlignment="1" applyProtection="1">
      <alignment horizontal="right"/>
      <protection/>
    </xf>
    <xf numFmtId="202" fontId="3" fillId="0" borderId="0" xfId="73" applyNumberFormat="1" applyFont="1" applyFill="1" applyAlignment="1">
      <alignment horizontal="right"/>
      <protection/>
    </xf>
    <xf numFmtId="202" fontId="3" fillId="0" borderId="0" xfId="87" applyNumberFormat="1" applyFont="1" applyFill="1" applyBorder="1" applyAlignment="1">
      <alignment horizontal="right"/>
      <protection/>
    </xf>
    <xf numFmtId="39" fontId="5" fillId="0" borderId="0" xfId="73" applyNumberFormat="1" applyFont="1" applyFill="1" applyBorder="1" applyAlignment="1">
      <alignment horizontal="right"/>
      <protection/>
    </xf>
    <xf numFmtId="39" fontId="3" fillId="0" borderId="0" xfId="48" applyNumberFormat="1" applyFont="1" applyFill="1" applyBorder="1" applyAlignment="1" applyProtection="1">
      <alignment horizontal="right"/>
      <protection/>
    </xf>
    <xf numFmtId="39" fontId="3" fillId="0" borderId="0" xfId="73" applyNumberFormat="1" applyFont="1" applyFill="1" applyBorder="1" applyAlignment="1">
      <alignment horizontal="right"/>
      <protection/>
    </xf>
    <xf numFmtId="202" fontId="3" fillId="0" borderId="0" xfId="87" applyNumberFormat="1" applyFont="1" applyFill="1" applyBorder="1" applyProtection="1">
      <alignment/>
      <protection/>
    </xf>
    <xf numFmtId="199" fontId="3" fillId="0" borderId="0" xfId="48" applyNumberFormat="1" applyFont="1" applyFill="1" applyBorder="1" applyAlignment="1" applyProtection="1">
      <alignment/>
      <protection/>
    </xf>
    <xf numFmtId="201" fontId="3" fillId="0" borderId="0" xfId="87" applyNumberFormat="1" applyFont="1" applyFill="1" applyBorder="1" applyProtection="1">
      <alignment/>
      <protection/>
    </xf>
    <xf numFmtId="0" fontId="3" fillId="0" borderId="0" xfId="73" applyFont="1" applyFill="1" applyAlignment="1">
      <alignment horizontal="centerContinuous"/>
      <protection/>
    </xf>
    <xf numFmtId="202" fontId="3" fillId="0" borderId="0" xfId="87" applyNumberFormat="1" applyFont="1" applyFill="1" applyAlignment="1">
      <alignment horizontal="centerContinuous"/>
      <protection/>
    </xf>
    <xf numFmtId="201" fontId="3" fillId="0" borderId="0" xfId="87" applyNumberFormat="1" applyFont="1" applyFill="1" applyAlignment="1">
      <alignment horizontal="centerContinuous"/>
      <protection/>
    </xf>
    <xf numFmtId="202" fontId="3" fillId="0" borderId="12" xfId="87" applyNumberFormat="1" applyFont="1" applyFill="1" applyBorder="1" applyAlignment="1" applyProtection="1">
      <alignment horizontal="right"/>
      <protection/>
    </xf>
    <xf numFmtId="202" fontId="3" fillId="0" borderId="0" xfId="87" applyNumberFormat="1" applyFont="1" applyFill="1" applyAlignment="1">
      <alignment horizontal="right"/>
      <protection/>
    </xf>
    <xf numFmtId="202" fontId="3" fillId="0" borderId="12" xfId="87" applyNumberFormat="1" applyFont="1" applyFill="1" applyBorder="1" applyAlignment="1">
      <alignment horizontal="right"/>
      <protection/>
    </xf>
    <xf numFmtId="202" fontId="3" fillId="0" borderId="0" xfId="48" applyNumberFormat="1" applyFont="1" applyFill="1" applyAlignment="1">
      <alignment horizontal="right"/>
    </xf>
    <xf numFmtId="202" fontId="3" fillId="0" borderId="14" xfId="87" applyNumberFormat="1" applyFont="1" applyFill="1" applyBorder="1" applyAlignment="1" applyProtection="1">
      <alignment horizontal="right"/>
      <protection/>
    </xf>
    <xf numFmtId="202" fontId="3" fillId="0" borderId="0" xfId="48" applyNumberFormat="1" applyFont="1" applyFill="1" applyAlignment="1">
      <alignment/>
    </xf>
    <xf numFmtId="199" fontId="3" fillId="0" borderId="0" xfId="48" applyNumberFormat="1" applyFont="1" applyFill="1" applyBorder="1" applyAlignment="1">
      <alignment/>
    </xf>
    <xf numFmtId="202" fontId="3" fillId="0" borderId="0" xfId="73" applyNumberFormat="1" applyFont="1" applyFill="1" applyAlignment="1">
      <alignment/>
      <protection/>
    </xf>
    <xf numFmtId="201" fontId="3" fillId="0" borderId="0" xfId="73" applyNumberFormat="1" applyFont="1" applyFill="1" applyAlignment="1">
      <alignment/>
      <protection/>
    </xf>
    <xf numFmtId="0" fontId="11" fillId="0" borderId="0" xfId="0" applyFont="1" applyFill="1" applyAlignment="1" applyProtection="1">
      <alignment vertical="center"/>
      <protection hidden="1"/>
    </xf>
    <xf numFmtId="199" fontId="6" fillId="0" borderId="0" xfId="86" applyNumberFormat="1" applyFont="1" applyFill="1" applyBorder="1" applyAlignment="1" applyProtection="1">
      <alignment horizontal="centerContinuous"/>
      <protection/>
    </xf>
    <xf numFmtId="209" fontId="3" fillId="0" borderId="0" xfId="86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>
      <alignment/>
    </xf>
    <xf numFmtId="39" fontId="5" fillId="0" borderId="0" xfId="86" applyNumberFormat="1" applyFont="1" applyFill="1" applyAlignment="1" applyProtection="1">
      <alignment horizontal="center"/>
      <protection/>
    </xf>
    <xf numFmtId="39" fontId="3" fillId="0" borderId="0" xfId="86" applyNumberFormat="1" applyFont="1" applyFill="1" applyBorder="1" applyAlignment="1">
      <alignment horizontal="centerContinuous" vertical="center"/>
      <protection/>
    </xf>
    <xf numFmtId="215" fontId="5" fillId="0" borderId="0" xfId="73" applyNumberFormat="1" applyFont="1" applyFill="1" applyBorder="1" applyAlignment="1">
      <alignment/>
      <protection/>
    </xf>
    <xf numFmtId="215" fontId="5" fillId="0" borderId="0" xfId="86" applyNumberFormat="1" applyFont="1" applyFill="1" applyBorder="1" applyAlignment="1">
      <alignment/>
      <protection/>
    </xf>
    <xf numFmtId="216" fontId="5" fillId="0" borderId="0" xfId="73" applyNumberFormat="1" applyFont="1" applyFill="1" applyAlignment="1">
      <alignment/>
      <protection/>
    </xf>
    <xf numFmtId="216" fontId="5" fillId="0" borderId="0" xfId="73" applyNumberFormat="1" applyFont="1" applyFill="1" applyBorder="1" applyAlignment="1">
      <alignment/>
      <protection/>
    </xf>
    <xf numFmtId="216" fontId="5" fillId="0" borderId="0" xfId="86" applyNumberFormat="1" applyFont="1" applyFill="1" applyBorder="1" applyAlignment="1">
      <alignment/>
      <protection/>
    </xf>
    <xf numFmtId="216" fontId="5" fillId="0" borderId="0" xfId="51" applyNumberFormat="1" applyFont="1" applyFill="1" applyBorder="1" applyAlignment="1">
      <alignment/>
    </xf>
    <xf numFmtId="216" fontId="5" fillId="0" borderId="0" xfId="73" applyNumberFormat="1" applyFont="1" applyFill="1">
      <alignment/>
      <protection/>
    </xf>
    <xf numFmtId="39" fontId="3" fillId="0" borderId="0" xfId="77" applyNumberFormat="1" applyFont="1" applyFill="1" applyBorder="1" applyAlignment="1">
      <alignment horizontal="left"/>
      <protection/>
    </xf>
    <xf numFmtId="39" fontId="0" fillId="0" borderId="0" xfId="77" applyNumberFormat="1" applyFill="1" applyAlignment="1">
      <alignment horizontal="left"/>
      <protection/>
    </xf>
    <xf numFmtId="201" fontId="6" fillId="0" borderId="0" xfId="86" applyNumberFormat="1" applyFont="1" applyFill="1" applyAlignment="1" applyProtection="1">
      <alignment horizontal="center" vertical="top"/>
      <protection/>
    </xf>
    <xf numFmtId="49" fontId="6" fillId="0" borderId="0" xfId="86" applyNumberFormat="1" applyFont="1" applyFill="1" applyBorder="1" applyAlignment="1" applyProtection="1" quotePrefix="1">
      <alignment horizontal="center"/>
      <protection/>
    </xf>
    <xf numFmtId="39" fontId="6" fillId="0" borderId="0" xfId="86" applyNumberFormat="1" applyFont="1" applyFill="1" applyBorder="1" applyAlignment="1" applyProtection="1" quotePrefix="1">
      <alignment horizontal="center"/>
      <protection/>
    </xf>
    <xf numFmtId="49" fontId="5" fillId="0" borderId="0" xfId="86" applyNumberFormat="1" applyFont="1" applyFill="1" applyBorder="1" applyAlignment="1" applyProtection="1" quotePrefix="1">
      <alignment horizontal="center"/>
      <protection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left" vertical="center" indent="1"/>
      <protection hidden="1"/>
    </xf>
    <xf numFmtId="9" fontId="11" fillId="0" borderId="0" xfId="81" applyFont="1" applyFill="1" applyBorder="1" applyAlignment="1" applyProtection="1">
      <alignment horizontal="right" vertical="center"/>
      <protection hidden="1"/>
    </xf>
    <xf numFmtId="201" fontId="5" fillId="0" borderId="0" xfId="0" applyNumberFormat="1" applyFont="1" applyFill="1" applyBorder="1" applyAlignment="1">
      <alignment/>
    </xf>
    <xf numFmtId="199" fontId="6" fillId="0" borderId="10" xfId="86" applyNumberFormat="1" applyFont="1" applyFill="1" applyBorder="1" applyAlignment="1" applyProtection="1">
      <alignment/>
      <protection/>
    </xf>
    <xf numFmtId="199" fontId="6" fillId="0" borderId="10" xfId="86" applyNumberFormat="1" applyFont="1" applyFill="1" applyBorder="1" applyAlignment="1" applyProtection="1">
      <alignment horizontal="centerContinuous"/>
      <protection/>
    </xf>
    <xf numFmtId="226" fontId="5" fillId="0" borderId="0" xfId="0" applyNumberFormat="1" applyFont="1" applyFill="1" applyBorder="1" applyAlignment="1">
      <alignment horizontal="right"/>
    </xf>
    <xf numFmtId="226" fontId="3" fillId="0" borderId="0" xfId="42" applyNumberFormat="1" applyFont="1" applyFill="1" applyBorder="1" applyAlignment="1">
      <alignment horizontal="right" vertical="center"/>
    </xf>
    <xf numFmtId="226" fontId="3" fillId="0" borderId="0" xfId="42" applyNumberFormat="1" applyFont="1" applyFill="1" applyBorder="1" applyAlignment="1" applyProtection="1">
      <alignment horizontal="right"/>
      <protection/>
    </xf>
    <xf numFmtId="226" fontId="3" fillId="0" borderId="12" xfId="42" applyNumberFormat="1" applyFont="1" applyFill="1" applyBorder="1" applyAlignment="1" applyProtection="1">
      <alignment horizontal="right" vertical="center"/>
      <protection/>
    </xf>
    <xf numFmtId="226" fontId="3" fillId="0" borderId="0" xfId="42" applyNumberFormat="1" applyFont="1" applyFill="1" applyAlignment="1">
      <alignment horizontal="right" vertical="center"/>
    </xf>
    <xf numFmtId="226" fontId="3" fillId="0" borderId="0" xfId="86" applyNumberFormat="1" applyFont="1" applyFill="1" applyBorder="1" applyAlignment="1" applyProtection="1">
      <alignment/>
      <protection/>
    </xf>
    <xf numFmtId="226" fontId="3" fillId="0" borderId="12" xfId="42" applyNumberFormat="1" applyFont="1" applyFill="1" applyBorder="1" applyAlignment="1" applyProtection="1">
      <alignment horizontal="right"/>
      <protection/>
    </xf>
    <xf numFmtId="226" fontId="5" fillId="0" borderId="0" xfId="42" applyNumberFormat="1" applyFont="1" applyFill="1" applyBorder="1" applyAlignment="1">
      <alignment horizontal="right"/>
    </xf>
    <xf numFmtId="226" fontId="5" fillId="0" borderId="0" xfId="0" applyNumberFormat="1" applyFont="1" applyFill="1" applyBorder="1" applyAlignment="1">
      <alignment/>
    </xf>
    <xf numFmtId="226" fontId="3" fillId="0" borderId="0" xfId="77" applyNumberFormat="1" applyFont="1" applyFill="1" applyBorder="1" applyAlignment="1">
      <alignment/>
      <protection/>
    </xf>
    <xf numFmtId="226" fontId="11" fillId="0" borderId="0" xfId="42" applyNumberFormat="1" applyFont="1" applyFill="1" applyBorder="1" applyAlignment="1" applyProtection="1">
      <alignment horizontal="right" vertical="center"/>
      <protection hidden="1"/>
    </xf>
    <xf numFmtId="226" fontId="11" fillId="0" borderId="0" xfId="0" applyNumberFormat="1" applyFont="1" applyFill="1" applyBorder="1" applyAlignment="1">
      <alignment horizontal="right"/>
    </xf>
    <xf numFmtId="226" fontId="11" fillId="0" borderId="0" xfId="0" applyNumberFormat="1" applyFont="1" applyFill="1" applyBorder="1" applyAlignment="1" applyProtection="1">
      <alignment horizontal="right" vertical="center"/>
      <protection hidden="1"/>
    </xf>
    <xf numFmtId="226" fontId="6" fillId="0" borderId="0" xfId="86" applyNumberFormat="1" applyFont="1" applyFill="1" applyBorder="1" applyAlignment="1">
      <alignment horizontal="center"/>
      <protection/>
    </xf>
    <xf numFmtId="226" fontId="6" fillId="0" borderId="0" xfId="0" applyNumberFormat="1" applyFont="1" applyFill="1" applyBorder="1" applyAlignment="1">
      <alignment horizontal="center"/>
    </xf>
    <xf numFmtId="226" fontId="5" fillId="0" borderId="12" xfId="0" applyNumberFormat="1" applyFont="1" applyFill="1" applyBorder="1" applyAlignment="1">
      <alignment/>
    </xf>
    <xf numFmtId="226" fontId="3" fillId="0" borderId="0" xfId="77" applyNumberFormat="1" applyFont="1" applyFill="1" applyAlignment="1">
      <alignment/>
      <protection/>
    </xf>
    <xf numFmtId="226" fontId="11" fillId="0" borderId="0" xfId="42" applyNumberFormat="1" applyFont="1" applyFill="1" applyBorder="1" applyAlignment="1" applyProtection="1">
      <alignment horizontal="left" vertical="center"/>
      <protection hidden="1"/>
    </xf>
    <xf numFmtId="226" fontId="5" fillId="0" borderId="14" xfId="0" applyNumberFormat="1" applyFont="1" applyFill="1" applyBorder="1" applyAlignment="1">
      <alignment/>
    </xf>
    <xf numFmtId="226" fontId="11" fillId="0" borderId="0" xfId="0" applyNumberFormat="1" applyFont="1" applyFill="1" applyAlignment="1" applyProtection="1">
      <alignment horizontal="left" vertical="center"/>
      <protection hidden="1"/>
    </xf>
    <xf numFmtId="226" fontId="3" fillId="0" borderId="0" xfId="86" applyNumberFormat="1" applyFont="1" applyFill="1" applyAlignment="1" applyProtection="1">
      <alignment/>
      <protection/>
    </xf>
    <xf numFmtId="226" fontId="3" fillId="0" borderId="0" xfId="86" applyNumberFormat="1" applyFont="1" applyFill="1" applyBorder="1" applyAlignment="1">
      <alignment/>
      <protection/>
    </xf>
    <xf numFmtId="226" fontId="3" fillId="0" borderId="0" xfId="42" applyNumberFormat="1" applyFont="1" applyFill="1" applyBorder="1" applyAlignment="1" applyProtection="1">
      <alignment/>
      <protection/>
    </xf>
    <xf numFmtId="226" fontId="3" fillId="0" borderId="0" xfId="86" applyNumberFormat="1" applyFont="1" applyFill="1" applyAlignment="1">
      <alignment/>
      <protection/>
    </xf>
    <xf numFmtId="226" fontId="0" fillId="0" borderId="0" xfId="77" applyNumberFormat="1" applyFill="1">
      <alignment/>
      <protection/>
    </xf>
    <xf numFmtId="43" fontId="3" fillId="0" borderId="0" xfId="42" applyFont="1" applyFill="1" applyAlignment="1">
      <alignment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 applyProtection="1">
      <alignment/>
      <protection/>
    </xf>
    <xf numFmtId="202" fontId="5" fillId="0" borderId="10" xfId="73" applyNumberFormat="1" applyFont="1" applyFill="1" applyBorder="1" applyAlignment="1">
      <alignment horizontal="right"/>
      <protection/>
    </xf>
    <xf numFmtId="199" fontId="3" fillId="0" borderId="0" xfId="87" applyNumberFormat="1" applyFont="1" applyFill="1" applyAlignment="1">
      <alignment horizontal="centerContinuous"/>
      <protection/>
    </xf>
    <xf numFmtId="39" fontId="3" fillId="0" borderId="0" xfId="87" applyNumberFormat="1" applyFont="1" applyFill="1" applyAlignment="1">
      <alignment horizontal="centerContinuous"/>
      <protection/>
    </xf>
    <xf numFmtId="40" fontId="3" fillId="0" borderId="0" xfId="73" applyNumberFormat="1" applyFont="1" applyFill="1" applyAlignment="1">
      <alignment/>
      <protection/>
    </xf>
    <xf numFmtId="43" fontId="3" fillId="0" borderId="14" xfId="42" applyFont="1" applyFill="1" applyBorder="1" applyAlignment="1">
      <alignment/>
    </xf>
    <xf numFmtId="226" fontId="3" fillId="0" borderId="14" xfId="77" applyNumberFormat="1" applyFont="1" applyFill="1" applyBorder="1" applyAlignment="1">
      <alignment/>
      <protection/>
    </xf>
    <xf numFmtId="39" fontId="3" fillId="0" borderId="0" xfId="42" applyNumberFormat="1" applyFont="1" applyFill="1" applyAlignment="1">
      <alignment/>
    </xf>
    <xf numFmtId="199" fontId="3" fillId="0" borderId="0" xfId="77" applyNumberFormat="1" applyFont="1" applyFill="1" applyAlignment="1">
      <alignment/>
      <protection/>
    </xf>
    <xf numFmtId="199" fontId="3" fillId="0" borderId="0" xfId="77" applyNumberFormat="1" applyFont="1" applyFill="1" applyBorder="1" applyAlignment="1">
      <alignment/>
      <protection/>
    </xf>
    <xf numFmtId="199" fontId="3" fillId="0" borderId="0" xfId="86" applyNumberFormat="1" applyFont="1" applyFill="1" applyBorder="1" applyAlignment="1">
      <alignment/>
      <protection/>
    </xf>
    <xf numFmtId="199" fontId="3" fillId="0" borderId="0" xfId="42" applyNumberFormat="1" applyFont="1" applyFill="1" applyBorder="1" applyAlignment="1" applyProtection="1">
      <alignment/>
      <protection/>
    </xf>
    <xf numFmtId="216" fontId="5" fillId="0" borderId="14" xfId="73" applyNumberFormat="1" applyFont="1" applyFill="1" applyBorder="1" applyAlignment="1">
      <alignment/>
      <protection/>
    </xf>
    <xf numFmtId="216" fontId="3" fillId="0" borderId="0" xfId="77" applyNumberFormat="1" applyFont="1" applyFill="1" applyBorder="1" applyAlignment="1">
      <alignment/>
      <protection/>
    </xf>
    <xf numFmtId="39" fontId="4" fillId="0" borderId="10" xfId="86" applyNumberFormat="1" applyFont="1" applyFill="1" applyBorder="1" applyAlignment="1" applyProtection="1">
      <alignment horizontal="centerContinuous"/>
      <protection/>
    </xf>
    <xf numFmtId="40" fontId="3" fillId="0" borderId="0" xfId="73" applyNumberFormat="1" applyFont="1" applyFill="1" applyBorder="1" applyAlignment="1">
      <alignment/>
      <protection/>
    </xf>
    <xf numFmtId="39" fontId="3" fillId="0" borderId="0" xfId="86" applyNumberFormat="1" applyFont="1" applyFill="1" applyAlignment="1">
      <alignment horizontal="centerContinuous"/>
      <protection/>
    </xf>
    <xf numFmtId="39" fontId="3" fillId="0" borderId="0" xfId="86" applyNumberFormat="1" applyFont="1" applyFill="1" applyAlignment="1">
      <alignment horizontal="centerContinuous" vertical="center"/>
      <protection/>
    </xf>
    <xf numFmtId="207" fontId="3" fillId="0" borderId="10" xfId="86" applyNumberFormat="1" applyFont="1" applyFill="1" applyBorder="1" applyAlignment="1" applyProtection="1">
      <alignment/>
      <protection/>
    </xf>
    <xf numFmtId="226" fontId="5" fillId="0" borderId="10" xfId="0" applyNumberFormat="1" applyFont="1" applyFill="1" applyBorder="1" applyAlignment="1">
      <alignment horizontal="right"/>
    </xf>
    <xf numFmtId="226" fontId="5" fillId="0" borderId="10" xfId="42" applyNumberFormat="1" applyFont="1" applyFill="1" applyBorder="1" applyAlignment="1">
      <alignment horizontal="right"/>
    </xf>
    <xf numFmtId="226" fontId="5" fillId="0" borderId="10" xfId="0" applyNumberFormat="1" applyFont="1" applyFill="1" applyBorder="1" applyAlignment="1">
      <alignment/>
    </xf>
    <xf numFmtId="39" fontId="3" fillId="0" borderId="0" xfId="42" applyNumberFormat="1" applyFont="1" applyFill="1" applyBorder="1" applyAlignment="1">
      <alignment/>
    </xf>
    <xf numFmtId="215" fontId="5" fillId="0" borderId="0" xfId="51" applyNumberFormat="1" applyFont="1" applyFill="1" applyBorder="1" applyAlignment="1">
      <alignment/>
    </xf>
    <xf numFmtId="216" fontId="5" fillId="0" borderId="0" xfId="73" applyNumberFormat="1" applyFont="1" applyFill="1" applyBorder="1">
      <alignment/>
      <protection/>
    </xf>
    <xf numFmtId="43" fontId="3" fillId="0" borderId="0" xfId="42" applyFont="1" applyFill="1" applyAlignment="1">
      <alignment/>
    </xf>
    <xf numFmtId="200" fontId="5" fillId="0" borderId="0" xfId="42" applyNumberFormat="1" applyFont="1" applyFill="1" applyAlignment="1" applyProtection="1">
      <alignment horizontal="center"/>
      <protection/>
    </xf>
    <xf numFmtId="199" fontId="6" fillId="0" borderId="10" xfId="86" applyNumberFormat="1" applyFont="1" applyFill="1" applyBorder="1" applyAlignment="1" applyProtection="1">
      <alignment horizontal="center"/>
      <protection/>
    </xf>
    <xf numFmtId="201" fontId="6" fillId="0" borderId="10" xfId="86" applyNumberFormat="1" applyFont="1" applyFill="1" applyBorder="1" applyAlignment="1" applyProtection="1">
      <alignment horizontal="center"/>
      <protection/>
    </xf>
    <xf numFmtId="39" fontId="4" fillId="0" borderId="10" xfId="86" applyNumberFormat="1" applyFont="1" applyFill="1" applyBorder="1" applyAlignment="1" applyProtection="1">
      <alignment horizontal="center" vertical="center"/>
      <protection/>
    </xf>
    <xf numFmtId="39" fontId="4" fillId="0" borderId="10" xfId="86" applyNumberFormat="1" applyFont="1" applyFill="1" applyBorder="1" applyAlignment="1" applyProtection="1">
      <alignment horizontal="center"/>
      <protection/>
    </xf>
    <xf numFmtId="199" fontId="3" fillId="0" borderId="0" xfId="87" applyNumberFormat="1" applyFont="1" applyFill="1" applyAlignment="1" applyProtection="1">
      <alignment horizont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4 2" xfId="46"/>
    <cellStyle name="Comma 2" xfId="47"/>
    <cellStyle name="Comma 2 2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6" xfId="55"/>
    <cellStyle name="Comma 7" xfId="56"/>
    <cellStyle name="Comma 8" xfId="57"/>
    <cellStyle name="Comma 9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2_งบแสดงส่วนเปลี่ยนแปลงQ251" xfId="74"/>
    <cellStyle name="Normal 3" xfId="75"/>
    <cellStyle name="Normal 3 2" xfId="76"/>
    <cellStyle name="Normal 4" xfId="77"/>
    <cellStyle name="Note" xfId="78"/>
    <cellStyle name="Output" xfId="79"/>
    <cellStyle name="Percent" xfId="80"/>
    <cellStyle name="Percent 2" xfId="81"/>
    <cellStyle name="Title" xfId="82"/>
    <cellStyle name="Total" xfId="83"/>
    <cellStyle name="Warning Text" xfId="84"/>
    <cellStyle name="ปกติ 2" xfId="85"/>
    <cellStyle name="ปกติ_Sheet1" xfId="86"/>
    <cellStyle name="ปกติ_Sheet1_SPI- DEC. 45_( สอบทาน)_SPI-Dec'48t-2-สอบทาน" xfId="87"/>
    <cellStyle name="เปอร์เซ็นต์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85" workbookViewId="0" topLeftCell="A1">
      <selection activeCell="A8" sqref="A8"/>
    </sheetView>
  </sheetViews>
  <sheetFormatPr defaultColWidth="9.140625" defaultRowHeight="25.5" customHeight="1"/>
  <cols>
    <col min="1" max="1" width="44.57421875" style="9" customWidth="1"/>
    <col min="2" max="2" width="8.7109375" style="9" customWidth="1"/>
    <col min="3" max="3" width="6.00390625" style="9" customWidth="1"/>
    <col min="4" max="4" width="19.8515625" style="20" customWidth="1"/>
    <col min="5" max="5" width="1.57421875" style="9" customWidth="1"/>
    <col min="6" max="6" width="19.8515625" style="20" customWidth="1"/>
    <col min="7" max="7" width="1.57421875" style="9" customWidth="1"/>
    <col min="8" max="8" width="19.8515625" style="20" customWidth="1"/>
    <col min="9" max="9" width="1.57421875" style="9" customWidth="1"/>
    <col min="10" max="10" width="19.8515625" style="20" customWidth="1"/>
    <col min="11" max="11" width="2.00390625" style="8" customWidth="1"/>
    <col min="12" max="12" width="9.140625" style="8" customWidth="1"/>
    <col min="13" max="16384" width="9.140625" style="8" customWidth="1"/>
  </cols>
  <sheetData>
    <row r="1" spans="1:10" ht="25.5" customHeight="1">
      <c r="A1" s="25" t="s">
        <v>206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5.5" customHeight="1">
      <c r="A2" s="25" t="s">
        <v>119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5.5" customHeight="1">
      <c r="A3" s="25" t="s">
        <v>237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9.5" customHeight="1">
      <c r="A4" s="5"/>
      <c r="B4" s="5"/>
      <c r="C4" s="5"/>
      <c r="D4" s="6"/>
      <c r="E4" s="5"/>
      <c r="F4" s="6"/>
      <c r="G4" s="5"/>
      <c r="H4" s="6"/>
      <c r="I4" s="5"/>
      <c r="J4" s="228" t="s">
        <v>86</v>
      </c>
    </row>
    <row r="5" spans="1:10" ht="25.5" customHeight="1">
      <c r="A5" s="10"/>
      <c r="B5" s="10"/>
      <c r="C5" s="10"/>
      <c r="D5" s="237" t="s">
        <v>51</v>
      </c>
      <c r="E5" s="237"/>
      <c r="F5" s="237"/>
      <c r="G5" s="236"/>
      <c r="H5" s="293" t="s">
        <v>50</v>
      </c>
      <c r="I5" s="293"/>
      <c r="J5" s="293"/>
    </row>
    <row r="6" spans="1:10" ht="25.5" customHeight="1">
      <c r="A6" s="4" t="s">
        <v>1</v>
      </c>
      <c r="B6" s="11" t="s">
        <v>2</v>
      </c>
      <c r="C6" s="11"/>
      <c r="D6" s="122" t="s">
        <v>238</v>
      </c>
      <c r="E6" s="95"/>
      <c r="F6" s="122" t="s">
        <v>208</v>
      </c>
      <c r="G6" s="95"/>
      <c r="H6" s="122" t="s">
        <v>238</v>
      </c>
      <c r="I6" s="95"/>
      <c r="J6" s="122" t="s">
        <v>208</v>
      </c>
    </row>
    <row r="7" spans="1:10" ht="23.25">
      <c r="A7" s="4"/>
      <c r="B7" s="11"/>
      <c r="C7" s="11"/>
      <c r="D7" s="231" t="s">
        <v>200</v>
      </c>
      <c r="E7" s="230"/>
      <c r="F7" s="231" t="s">
        <v>195</v>
      </c>
      <c r="G7" s="230"/>
      <c r="H7" s="231" t="s">
        <v>200</v>
      </c>
      <c r="I7" s="230"/>
      <c r="J7" s="231" t="s">
        <v>195</v>
      </c>
    </row>
    <row r="8" spans="1:10" ht="23.25">
      <c r="A8" s="4"/>
      <c r="B8" s="11"/>
      <c r="C8" s="11"/>
      <c r="D8" s="231" t="s">
        <v>199</v>
      </c>
      <c r="E8" s="230"/>
      <c r="F8" s="231"/>
      <c r="G8" s="230"/>
      <c r="H8" s="231" t="s">
        <v>199</v>
      </c>
      <c r="I8" s="230"/>
      <c r="J8" s="229"/>
    </row>
    <row r="9" spans="1:10" ht="24" customHeight="1">
      <c r="A9" s="15" t="s">
        <v>3</v>
      </c>
      <c r="B9" s="11"/>
      <c r="C9" s="11"/>
      <c r="D9" s="12"/>
      <c r="E9" s="13"/>
      <c r="F9" s="94"/>
      <c r="G9" s="13"/>
      <c r="H9" s="12"/>
      <c r="I9" s="13"/>
      <c r="J9" s="94"/>
    </row>
    <row r="10" spans="1:10" ht="24" customHeight="1">
      <c r="A10" s="15" t="s">
        <v>52</v>
      </c>
      <c r="B10" s="68">
        <v>4</v>
      </c>
      <c r="C10" s="68"/>
      <c r="D10" s="141">
        <v>104135961.05000003</v>
      </c>
      <c r="E10" s="142"/>
      <c r="F10" s="141">
        <v>337526130.91</v>
      </c>
      <c r="G10" s="142"/>
      <c r="H10" s="141">
        <v>104135961.05</v>
      </c>
      <c r="I10" s="142"/>
      <c r="J10" s="141">
        <v>337526130.91</v>
      </c>
    </row>
    <row r="11" spans="1:10" ht="24" customHeight="1">
      <c r="A11" s="15" t="s">
        <v>154</v>
      </c>
      <c r="B11" s="69">
        <v>5</v>
      </c>
      <c r="C11" s="68"/>
      <c r="D11" s="141">
        <v>174639215</v>
      </c>
      <c r="E11" s="142"/>
      <c r="F11" s="141">
        <v>165732522.09</v>
      </c>
      <c r="G11" s="142"/>
      <c r="H11" s="141">
        <v>174639215</v>
      </c>
      <c r="I11" s="142"/>
      <c r="J11" s="141">
        <v>165732522.09</v>
      </c>
    </row>
    <row r="12" spans="1:10" ht="24" customHeight="1">
      <c r="A12" s="15" t="s">
        <v>155</v>
      </c>
      <c r="B12" s="68">
        <v>6</v>
      </c>
      <c r="C12" s="68"/>
      <c r="D12" s="141">
        <f>27856947.27+2932853.58</f>
        <v>30789800.85</v>
      </c>
      <c r="E12" s="142"/>
      <c r="F12" s="141">
        <v>28553917.45</v>
      </c>
      <c r="G12" s="142"/>
      <c r="H12" s="141">
        <f>27856947.27+2932853.58</f>
        <v>30789800.85</v>
      </c>
      <c r="I12" s="142"/>
      <c r="J12" s="141">
        <v>28553917.45</v>
      </c>
    </row>
    <row r="13" spans="1:10" ht="24" customHeight="1">
      <c r="A13" s="15" t="s">
        <v>158</v>
      </c>
      <c r="B13" s="68"/>
      <c r="C13" s="68"/>
      <c r="D13" s="283">
        <v>2429344.53</v>
      </c>
      <c r="E13" s="142"/>
      <c r="F13" s="156">
        <v>2221117.97</v>
      </c>
      <c r="G13" s="142"/>
      <c r="H13" s="283">
        <v>2429344.53</v>
      </c>
      <c r="I13" s="142"/>
      <c r="J13" s="156">
        <v>2221117.97</v>
      </c>
    </row>
    <row r="14" spans="1:10" ht="24" customHeight="1">
      <c r="A14" s="15" t="s">
        <v>53</v>
      </c>
      <c r="B14" s="7"/>
      <c r="C14" s="7"/>
      <c r="D14" s="147">
        <f>SUM(D10:D13)</f>
        <v>311994321.43</v>
      </c>
      <c r="E14" s="142"/>
      <c r="F14" s="147">
        <f>SUM(F10:F13)</f>
        <v>534033688.42</v>
      </c>
      <c r="G14" s="142"/>
      <c r="H14" s="147">
        <f>SUM(H10:H13)</f>
        <v>311994321.43</v>
      </c>
      <c r="I14" s="142"/>
      <c r="J14" s="147">
        <f>SUM(J10:J13)</f>
        <v>534033688.42</v>
      </c>
    </row>
    <row r="15" spans="1:10" ht="24" customHeight="1">
      <c r="A15" s="21" t="s">
        <v>4</v>
      </c>
      <c r="B15" s="11"/>
      <c r="C15" s="11"/>
      <c r="D15" s="157"/>
      <c r="E15" s="158"/>
      <c r="F15" s="157"/>
      <c r="G15" s="158"/>
      <c r="H15" s="157"/>
      <c r="I15" s="158"/>
      <c r="J15" s="157"/>
    </row>
    <row r="16" spans="1:10" ht="24" customHeight="1">
      <c r="A16" s="15" t="s">
        <v>88</v>
      </c>
      <c r="B16" s="8"/>
      <c r="C16" s="8"/>
      <c r="D16" s="145"/>
      <c r="E16" s="145"/>
      <c r="F16" s="145"/>
      <c r="G16" s="145"/>
      <c r="H16" s="145"/>
      <c r="I16" s="145"/>
      <c r="J16" s="145"/>
    </row>
    <row r="17" spans="1:10" ht="24" customHeight="1">
      <c r="A17" s="15" t="s">
        <v>89</v>
      </c>
      <c r="B17" s="68">
        <v>7</v>
      </c>
      <c r="C17" s="68"/>
      <c r="D17" s="141">
        <f>14731965742.63+150188069.3</f>
        <v>14882153811.929998</v>
      </c>
      <c r="E17" s="142"/>
      <c r="F17" s="141">
        <v>13638773794.449999</v>
      </c>
      <c r="G17" s="142"/>
      <c r="H17" s="141">
        <v>0</v>
      </c>
      <c r="I17" s="159"/>
      <c r="J17" s="146">
        <v>0</v>
      </c>
    </row>
    <row r="18" spans="1:10" ht="24" customHeight="1">
      <c r="A18" s="15" t="s">
        <v>90</v>
      </c>
      <c r="B18" s="68">
        <v>7</v>
      </c>
      <c r="C18" s="68"/>
      <c r="D18" s="141">
        <v>0</v>
      </c>
      <c r="E18" s="159"/>
      <c r="F18" s="146">
        <v>0</v>
      </c>
      <c r="G18" s="159"/>
      <c r="H18" s="141">
        <v>2218591277.9500003</v>
      </c>
      <c r="I18" s="142"/>
      <c r="J18" s="141">
        <v>1979359849.95</v>
      </c>
    </row>
    <row r="19" spans="1:10" ht="24" customHeight="1">
      <c r="A19" s="15" t="s">
        <v>54</v>
      </c>
      <c r="B19" s="68"/>
      <c r="C19" s="68"/>
      <c r="D19" s="141"/>
      <c r="E19" s="142"/>
      <c r="F19" s="143"/>
      <c r="G19" s="142"/>
      <c r="H19" s="141"/>
      <c r="I19" s="142"/>
      <c r="J19" s="143"/>
    </row>
    <row r="20" spans="1:10" ht="24" customHeight="1">
      <c r="A20" s="15" t="s">
        <v>156</v>
      </c>
      <c r="B20" s="68">
        <v>8</v>
      </c>
      <c r="C20" s="68"/>
      <c r="D20" s="141">
        <f>3217664095.88+1591370</f>
        <v>3219255465.88</v>
      </c>
      <c r="E20" s="142"/>
      <c r="F20" s="141">
        <v>2847600459.2599998</v>
      </c>
      <c r="G20" s="142"/>
      <c r="H20" s="141">
        <f>3217664095.88+1591370</f>
        <v>3219255465.88</v>
      </c>
      <c r="I20" s="142"/>
      <c r="J20" s="141">
        <v>2847600459.2599998</v>
      </c>
    </row>
    <row r="21" spans="1:10" ht="24" customHeight="1">
      <c r="A21" s="15" t="s">
        <v>157</v>
      </c>
      <c r="B21" s="68">
        <v>8</v>
      </c>
      <c r="C21" s="68"/>
      <c r="D21" s="141">
        <f>1405772476.78-1591370</f>
        <v>1404181106.78</v>
      </c>
      <c r="E21" s="142"/>
      <c r="F21" s="141">
        <v>1211888507.65</v>
      </c>
      <c r="G21" s="142"/>
      <c r="H21" s="141">
        <f>1405772476.78-1591370</f>
        <v>1404181106.78</v>
      </c>
      <c r="I21" s="142"/>
      <c r="J21" s="141">
        <v>1211888507.65</v>
      </c>
    </row>
    <row r="22" spans="1:10" ht="24" customHeight="1">
      <c r="A22" s="15" t="s">
        <v>55</v>
      </c>
      <c r="B22" s="68"/>
      <c r="C22" s="68"/>
      <c r="D22" s="141"/>
      <c r="E22" s="142"/>
      <c r="F22" s="143"/>
      <c r="G22" s="142"/>
      <c r="H22" s="141"/>
      <c r="I22" s="142"/>
      <c r="J22" s="143"/>
    </row>
    <row r="23" spans="1:10" ht="24" customHeight="1">
      <c r="A23" s="15" t="s">
        <v>156</v>
      </c>
      <c r="B23" s="68">
        <v>9</v>
      </c>
      <c r="C23" s="68"/>
      <c r="D23" s="141">
        <v>111990349.5</v>
      </c>
      <c r="E23" s="142"/>
      <c r="F23" s="141">
        <v>183651021.5</v>
      </c>
      <c r="G23" s="142"/>
      <c r="H23" s="141">
        <v>111990349.5</v>
      </c>
      <c r="I23" s="142"/>
      <c r="J23" s="141">
        <v>183651021.5</v>
      </c>
    </row>
    <row r="24" spans="1:10" ht="24" customHeight="1">
      <c r="A24" s="15" t="s">
        <v>157</v>
      </c>
      <c r="B24" s="68">
        <v>9</v>
      </c>
      <c r="C24" s="68"/>
      <c r="D24" s="141">
        <v>41817560.629999995</v>
      </c>
      <c r="E24" s="142"/>
      <c r="F24" s="141">
        <v>41820500.3</v>
      </c>
      <c r="G24" s="142"/>
      <c r="H24" s="141">
        <v>41817560.629999995</v>
      </c>
      <c r="I24" s="142"/>
      <c r="J24" s="141">
        <v>41820500.3</v>
      </c>
    </row>
    <row r="25" spans="1:10" ht="24" customHeight="1">
      <c r="A25" s="15" t="s">
        <v>56</v>
      </c>
      <c r="B25" s="68"/>
      <c r="C25" s="70"/>
      <c r="D25" s="141">
        <v>621770.34</v>
      </c>
      <c r="E25" s="142"/>
      <c r="F25" s="141">
        <v>59354515.94</v>
      </c>
      <c r="G25" s="142"/>
      <c r="H25" s="141">
        <v>621770.34</v>
      </c>
      <c r="I25" s="142"/>
      <c r="J25" s="141">
        <v>59354515.94</v>
      </c>
    </row>
    <row r="26" spans="1:10" ht="24" customHeight="1">
      <c r="A26" s="15" t="s">
        <v>132</v>
      </c>
      <c r="B26" s="68">
        <v>10</v>
      </c>
      <c r="C26" s="68"/>
      <c r="D26" s="141">
        <v>631516632.56</v>
      </c>
      <c r="E26" s="142"/>
      <c r="F26" s="141">
        <v>721997967.14</v>
      </c>
      <c r="G26" s="142"/>
      <c r="H26" s="141">
        <v>631516632.56</v>
      </c>
      <c r="I26" s="142"/>
      <c r="J26" s="141">
        <v>721997967.14</v>
      </c>
    </row>
    <row r="27" spans="1:10" ht="24" customHeight="1">
      <c r="A27" s="15" t="s">
        <v>120</v>
      </c>
      <c r="B27" s="68">
        <v>11</v>
      </c>
      <c r="C27" s="68"/>
      <c r="D27" s="141">
        <v>2778974000.51</v>
      </c>
      <c r="E27" s="142"/>
      <c r="F27" s="141">
        <v>2365808250.18</v>
      </c>
      <c r="G27" s="142"/>
      <c r="H27" s="141">
        <v>2778974000.51</v>
      </c>
      <c r="I27" s="142"/>
      <c r="J27" s="141">
        <v>2365808250.18</v>
      </c>
    </row>
    <row r="28" spans="1:10" ht="24" customHeight="1">
      <c r="A28" s="15" t="s">
        <v>159</v>
      </c>
      <c r="B28" s="68">
        <v>12</v>
      </c>
      <c r="C28" s="68"/>
      <c r="D28" s="141">
        <v>1232178391.67</v>
      </c>
      <c r="E28" s="142"/>
      <c r="F28" s="141">
        <v>1178607217.8700001</v>
      </c>
      <c r="G28" s="142"/>
      <c r="H28" s="141">
        <v>1232178391.67</v>
      </c>
      <c r="I28" s="142"/>
      <c r="J28" s="141">
        <v>1178607217.8700001</v>
      </c>
    </row>
    <row r="29" spans="1:10" ht="24" customHeight="1">
      <c r="A29" s="15" t="s">
        <v>160</v>
      </c>
      <c r="B29" s="68">
        <v>13</v>
      </c>
      <c r="C29" s="68"/>
      <c r="D29" s="141">
        <v>10523743.940000001</v>
      </c>
      <c r="E29" s="142"/>
      <c r="F29" s="141">
        <v>11129016.19</v>
      </c>
      <c r="G29" s="142"/>
      <c r="H29" s="141">
        <v>10523743.940000001</v>
      </c>
      <c r="I29" s="142"/>
      <c r="J29" s="141">
        <v>11129016.19</v>
      </c>
    </row>
    <row r="30" spans="1:10" ht="24" customHeight="1">
      <c r="A30" s="15" t="s">
        <v>168</v>
      </c>
      <c r="B30" s="68"/>
      <c r="C30" s="68"/>
      <c r="D30" s="141">
        <f>181018266.37-19058767.87</f>
        <v>161959498.5</v>
      </c>
      <c r="E30" s="142"/>
      <c r="F30" s="143">
        <v>181018266.36999997</v>
      </c>
      <c r="G30" s="142"/>
      <c r="H30" s="141">
        <f>197700252.2-20108767.87</f>
        <v>177591484.32999998</v>
      </c>
      <c r="I30" s="142"/>
      <c r="J30" s="143">
        <v>197700252.2</v>
      </c>
    </row>
    <row r="31" spans="1:10" ht="24" customHeight="1">
      <c r="A31" s="15" t="s">
        <v>57</v>
      </c>
      <c r="B31" s="68"/>
      <c r="C31" s="68"/>
      <c r="D31" s="141"/>
      <c r="E31" s="142"/>
      <c r="F31" s="143"/>
      <c r="G31" s="142"/>
      <c r="H31" s="141"/>
      <c r="I31" s="142"/>
      <c r="J31" s="143"/>
    </row>
    <row r="32" spans="1:10" ht="24" customHeight="1">
      <c r="A32" s="15" t="s">
        <v>58</v>
      </c>
      <c r="B32" s="68"/>
      <c r="C32" s="68"/>
      <c r="D32" s="141">
        <v>42527100</v>
      </c>
      <c r="E32" s="142"/>
      <c r="F32" s="141">
        <v>42527100</v>
      </c>
      <c r="G32" s="142"/>
      <c r="H32" s="141">
        <v>42527100</v>
      </c>
      <c r="I32" s="142"/>
      <c r="J32" s="141">
        <v>42527100</v>
      </c>
    </row>
    <row r="33" spans="1:10" ht="24" customHeight="1">
      <c r="A33" s="15" t="s">
        <v>59</v>
      </c>
      <c r="B33" s="68"/>
      <c r="C33" s="68"/>
      <c r="D33" s="141">
        <v>42209354.349999994</v>
      </c>
      <c r="E33" s="142"/>
      <c r="F33" s="141">
        <v>61636628.04</v>
      </c>
      <c r="G33" s="142"/>
      <c r="H33" s="141">
        <v>42209354.349999994</v>
      </c>
      <c r="I33" s="142"/>
      <c r="J33" s="141">
        <v>61636628.04</v>
      </c>
    </row>
    <row r="34" spans="1:10" ht="24" customHeight="1">
      <c r="A34" s="15" t="s">
        <v>60</v>
      </c>
      <c r="B34" s="16"/>
      <c r="C34" s="16"/>
      <c r="D34" s="283">
        <v>4504292.77</v>
      </c>
      <c r="E34" s="142"/>
      <c r="F34" s="160">
        <v>7974453.79</v>
      </c>
      <c r="G34" s="142"/>
      <c r="H34" s="283">
        <v>4504292.77</v>
      </c>
      <c r="I34" s="142"/>
      <c r="J34" s="160">
        <v>7974453.79</v>
      </c>
    </row>
    <row r="35" spans="1:10" ht="24" customHeight="1">
      <c r="A35" s="15" t="s">
        <v>61</v>
      </c>
      <c r="B35" s="22"/>
      <c r="C35" s="22"/>
      <c r="D35" s="147">
        <f>SUM(D32:D34)</f>
        <v>89240747.11999999</v>
      </c>
      <c r="E35" s="142"/>
      <c r="F35" s="147">
        <f>SUM(F32:F34)</f>
        <v>112138181.83</v>
      </c>
      <c r="G35" s="142"/>
      <c r="H35" s="147">
        <f>SUM(H32:H34)</f>
        <v>89240747.11999999</v>
      </c>
      <c r="I35" s="142"/>
      <c r="J35" s="147">
        <f>SUM(J32:J34)</f>
        <v>112138181.83</v>
      </c>
    </row>
    <row r="36" spans="1:10" ht="24" customHeight="1">
      <c r="A36" s="15" t="s">
        <v>62</v>
      </c>
      <c r="B36" s="23"/>
      <c r="C36" s="23"/>
      <c r="D36" s="146">
        <f>SUM(D17:D30,D35)</f>
        <v>24564413079.359993</v>
      </c>
      <c r="E36" s="142"/>
      <c r="F36" s="146">
        <f>SUM(F17:F30,F35)</f>
        <v>22553787698.679996</v>
      </c>
      <c r="G36" s="142"/>
      <c r="H36" s="146">
        <f>SUM(H17:H30,H35)</f>
        <v>11916482531.210001</v>
      </c>
      <c r="I36" s="142"/>
      <c r="J36" s="146">
        <f>SUM(J17:J30,J35)</f>
        <v>10911055740.010002</v>
      </c>
    </row>
    <row r="37" spans="1:10" ht="24" customHeight="1" thickBot="1">
      <c r="A37" s="15" t="s">
        <v>63</v>
      </c>
      <c r="B37" s="23"/>
      <c r="C37" s="23"/>
      <c r="D37" s="161">
        <f>+D14+D36</f>
        <v>24876407400.789993</v>
      </c>
      <c r="E37" s="142"/>
      <c r="F37" s="161">
        <f>+F14+F36</f>
        <v>23087821387.099995</v>
      </c>
      <c r="G37" s="142"/>
      <c r="H37" s="161">
        <f>+H14+H36</f>
        <v>12228476852.640001</v>
      </c>
      <c r="I37" s="142"/>
      <c r="J37" s="161">
        <f>+J14+J36</f>
        <v>11445089428.430002</v>
      </c>
    </row>
    <row r="38" spans="1:10" ht="25.5" customHeight="1" thickTop="1">
      <c r="A38" s="15"/>
      <c r="B38" s="23"/>
      <c r="C38" s="23"/>
      <c r="D38" s="17"/>
      <c r="E38" s="18"/>
      <c r="F38" s="17"/>
      <c r="G38" s="18"/>
      <c r="H38" s="17"/>
      <c r="I38" s="18"/>
      <c r="J38" s="17"/>
    </row>
    <row r="39" spans="1:10" ht="25.5" customHeight="1">
      <c r="A39" s="15"/>
      <c r="B39" s="23"/>
      <c r="C39" s="23"/>
      <c r="D39" s="17"/>
      <c r="E39" s="18"/>
      <c r="F39" s="17"/>
      <c r="G39" s="18"/>
      <c r="H39" s="17"/>
      <c r="I39" s="18"/>
      <c r="J39" s="17"/>
    </row>
    <row r="40" spans="1:10" s="24" customFormat="1" ht="25.5" customHeight="1">
      <c r="A40" s="15" t="s">
        <v>5</v>
      </c>
      <c r="D40" s="32"/>
      <c r="E40" s="30"/>
      <c r="F40" s="30"/>
      <c r="G40" s="30"/>
      <c r="H40" s="30"/>
      <c r="I40" s="30"/>
      <c r="J40" s="31"/>
    </row>
    <row r="41" spans="1:12" s="24" customFormat="1" ht="25.5" customHeight="1">
      <c r="A41" s="123"/>
      <c r="C41" s="30"/>
      <c r="D41" s="32"/>
      <c r="E41" s="30"/>
      <c r="F41" s="30"/>
      <c r="G41" s="30"/>
      <c r="H41" s="30"/>
      <c r="I41" s="31"/>
      <c r="J41" s="30"/>
      <c r="K41" s="30"/>
      <c r="L41" s="30"/>
    </row>
    <row r="42" spans="1:12" s="24" customFormat="1" ht="25.5" customHeight="1">
      <c r="A42" s="124"/>
      <c r="C42" s="30"/>
      <c r="D42" s="30"/>
      <c r="E42" s="30"/>
      <c r="F42" s="30"/>
      <c r="G42" s="30"/>
      <c r="H42" s="30"/>
      <c r="I42" s="31"/>
      <c r="J42" s="30"/>
      <c r="K42" s="30"/>
      <c r="L42" s="30"/>
    </row>
    <row r="43" spans="1:12" s="24" customFormat="1" ht="25.5" customHeight="1">
      <c r="A43" s="124"/>
      <c r="C43" s="30"/>
      <c r="D43" s="30"/>
      <c r="E43" s="30"/>
      <c r="F43" s="30"/>
      <c r="G43" s="30"/>
      <c r="H43" s="30"/>
      <c r="I43" s="31"/>
      <c r="J43" s="30"/>
      <c r="K43" s="30"/>
      <c r="L43" s="30"/>
    </row>
    <row r="44" spans="1:10" s="24" customFormat="1" ht="25.5" customHeight="1">
      <c r="A44" s="96" t="s">
        <v>201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11" s="103" customFormat="1" ht="23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0" s="24" customFormat="1" ht="25.5" customHeight="1">
      <c r="A46" s="25" t="s">
        <v>6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24" customFormat="1" ht="8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25.5" customHeight="1">
      <c r="A48" s="25" t="s">
        <v>206</v>
      </c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25.5" customHeight="1">
      <c r="A49" s="25" t="s">
        <v>138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25.5" customHeight="1">
      <c r="A50" s="25" t="s">
        <v>239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23.25">
      <c r="A52" s="10"/>
      <c r="B52" s="10"/>
      <c r="C52" s="10"/>
      <c r="D52" s="26"/>
      <c r="E52" s="10"/>
      <c r="F52" s="26"/>
      <c r="G52" s="10"/>
      <c r="H52" s="26"/>
      <c r="I52" s="10"/>
      <c r="J52" s="228" t="s">
        <v>86</v>
      </c>
    </row>
    <row r="53" spans="1:10" ht="25.5" customHeight="1">
      <c r="A53" s="10"/>
      <c r="B53" s="10"/>
      <c r="C53" s="10"/>
      <c r="D53" s="292" t="s">
        <v>51</v>
      </c>
      <c r="E53" s="292"/>
      <c r="F53" s="292"/>
      <c r="G53" s="214"/>
      <c r="H53" s="293" t="s">
        <v>50</v>
      </c>
      <c r="I53" s="293"/>
      <c r="J53" s="293"/>
    </row>
    <row r="54" spans="1:10" ht="25.5" customHeight="1">
      <c r="A54" s="4" t="s">
        <v>7</v>
      </c>
      <c r="B54" s="11" t="s">
        <v>2</v>
      </c>
      <c r="C54" s="11"/>
      <c r="D54" s="122" t="s">
        <v>238</v>
      </c>
      <c r="E54" s="95"/>
      <c r="F54" s="122" t="s">
        <v>208</v>
      </c>
      <c r="G54" s="95"/>
      <c r="H54" s="122" t="s">
        <v>238</v>
      </c>
      <c r="I54" s="95"/>
      <c r="J54" s="122" t="s">
        <v>208</v>
      </c>
    </row>
    <row r="55" spans="1:10" ht="23.25">
      <c r="A55" s="4"/>
      <c r="B55" s="11"/>
      <c r="C55" s="11"/>
      <c r="D55" s="231" t="s">
        <v>200</v>
      </c>
      <c r="E55" s="230"/>
      <c r="F55" s="231" t="s">
        <v>195</v>
      </c>
      <c r="G55" s="230"/>
      <c r="H55" s="231" t="s">
        <v>200</v>
      </c>
      <c r="I55" s="230"/>
      <c r="J55" s="231" t="s">
        <v>195</v>
      </c>
    </row>
    <row r="56" spans="1:10" ht="23.25">
      <c r="A56" s="4"/>
      <c r="B56" s="11"/>
      <c r="C56" s="11"/>
      <c r="D56" s="231" t="s">
        <v>199</v>
      </c>
      <c r="E56" s="230"/>
      <c r="F56" s="229"/>
      <c r="G56" s="230"/>
      <c r="H56" s="231" t="s">
        <v>199</v>
      </c>
      <c r="I56" s="230"/>
      <c r="J56" s="229"/>
    </row>
    <row r="57" spans="1:10" ht="24" customHeight="1">
      <c r="A57" s="15" t="s">
        <v>8</v>
      </c>
      <c r="B57" s="7"/>
      <c r="C57" s="7"/>
      <c r="D57" s="27"/>
      <c r="E57" s="23"/>
      <c r="F57" s="94"/>
      <c r="G57" s="23"/>
      <c r="H57" s="12"/>
      <c r="I57" s="13"/>
      <c r="J57" s="94"/>
    </row>
    <row r="58" spans="1:10" ht="24" customHeight="1">
      <c r="A58" s="15" t="s">
        <v>69</v>
      </c>
      <c r="B58" s="7"/>
      <c r="C58" s="7"/>
      <c r="D58" s="27"/>
      <c r="E58" s="23"/>
      <c r="F58" s="27"/>
      <c r="G58" s="23"/>
      <c r="H58" s="27"/>
      <c r="I58" s="23"/>
      <c r="J58" s="27"/>
    </row>
    <row r="59" spans="1:10" ht="24" customHeight="1">
      <c r="A59" s="8" t="s">
        <v>72</v>
      </c>
      <c r="B59" s="68">
        <v>14</v>
      </c>
      <c r="C59" s="68"/>
      <c r="D59" s="141">
        <v>560000000</v>
      </c>
      <c r="E59" s="149"/>
      <c r="F59" s="148">
        <v>0</v>
      </c>
      <c r="G59" s="149"/>
      <c r="H59" s="141">
        <v>560000000</v>
      </c>
      <c r="I59" s="149"/>
      <c r="J59" s="148">
        <v>0</v>
      </c>
    </row>
    <row r="60" spans="1:10" ht="24" customHeight="1">
      <c r="A60" s="15" t="s">
        <v>162</v>
      </c>
      <c r="B60" s="68"/>
      <c r="C60" s="68"/>
      <c r="D60" s="141">
        <f>252719589.23+3000</f>
        <v>252722589.23</v>
      </c>
      <c r="E60" s="149"/>
      <c r="F60" s="148">
        <v>335451349.23</v>
      </c>
      <c r="G60" s="149"/>
      <c r="H60" s="141">
        <f>252719589.23+3000</f>
        <v>252722589.23</v>
      </c>
      <c r="I60" s="149"/>
      <c r="J60" s="148">
        <v>335451349.23</v>
      </c>
    </row>
    <row r="61" spans="1:10" ht="24" customHeight="1">
      <c r="A61" s="15" t="s">
        <v>70</v>
      </c>
      <c r="B61" s="68"/>
      <c r="C61" s="68"/>
      <c r="D61" s="148"/>
      <c r="E61" s="151"/>
      <c r="F61" s="148"/>
      <c r="G61" s="151"/>
      <c r="H61" s="148"/>
      <c r="I61" s="151"/>
      <c r="J61" s="148"/>
    </row>
    <row r="62" spans="1:10" ht="24" customHeight="1">
      <c r="A62" s="8" t="s">
        <v>71</v>
      </c>
      <c r="B62" s="70">
        <v>15</v>
      </c>
      <c r="C62" s="70"/>
      <c r="D62" s="283">
        <v>300000000</v>
      </c>
      <c r="E62" s="149"/>
      <c r="F62" s="148">
        <v>300000000</v>
      </c>
      <c r="G62" s="149"/>
      <c r="H62" s="283">
        <v>300000000</v>
      </c>
      <c r="I62" s="149"/>
      <c r="J62" s="148">
        <v>300000000</v>
      </c>
    </row>
    <row r="63" spans="1:10" ht="24" customHeight="1">
      <c r="A63" s="15" t="s">
        <v>66</v>
      </c>
      <c r="B63" s="7"/>
      <c r="C63" s="7"/>
      <c r="D63" s="152">
        <f>SUM(D59:D62)</f>
        <v>1112722589.23</v>
      </c>
      <c r="E63" s="149"/>
      <c r="F63" s="152">
        <f>SUM(F59:F62)</f>
        <v>635451349.23</v>
      </c>
      <c r="G63" s="149"/>
      <c r="H63" s="152">
        <f>SUM(H59:H62)</f>
        <v>1112722589.23</v>
      </c>
      <c r="I63" s="149"/>
      <c r="J63" s="152">
        <f>SUM(J59:J62)</f>
        <v>635451349.23</v>
      </c>
    </row>
    <row r="64" spans="1:10" ht="24" customHeight="1">
      <c r="A64" s="15" t="s">
        <v>9</v>
      </c>
      <c r="B64" s="11"/>
      <c r="C64" s="11"/>
      <c r="D64" s="153"/>
      <c r="E64" s="154"/>
      <c r="F64" s="153"/>
      <c r="G64" s="154"/>
      <c r="H64" s="153"/>
      <c r="I64" s="154"/>
      <c r="J64" s="153"/>
    </row>
    <row r="65" spans="1:10" ht="24" customHeight="1">
      <c r="A65" s="15" t="s">
        <v>64</v>
      </c>
      <c r="B65" s="71"/>
      <c r="C65" s="71"/>
      <c r="D65" s="150">
        <v>599700</v>
      </c>
      <c r="E65" s="149"/>
      <c r="F65" s="150">
        <v>599700</v>
      </c>
      <c r="G65" s="149"/>
      <c r="H65" s="150">
        <v>599700</v>
      </c>
      <c r="I65" s="149"/>
      <c r="J65" s="150">
        <v>599700</v>
      </c>
    </row>
    <row r="66" spans="1:10" ht="24" customHeight="1">
      <c r="A66" s="15" t="s">
        <v>137</v>
      </c>
      <c r="B66" s="71"/>
      <c r="C66" s="71"/>
      <c r="D66" s="141">
        <v>24517959.950000003</v>
      </c>
      <c r="E66" s="149"/>
      <c r="F66" s="148">
        <v>32873406.4</v>
      </c>
      <c r="G66" s="149"/>
      <c r="H66" s="141">
        <v>24517959.950000003</v>
      </c>
      <c r="I66" s="149"/>
      <c r="J66" s="148">
        <v>32873406.4</v>
      </c>
    </row>
    <row r="67" spans="1:10" ht="24" customHeight="1">
      <c r="A67" s="15" t="s">
        <v>136</v>
      </c>
      <c r="B67" s="71"/>
      <c r="C67" s="71"/>
      <c r="D67" s="141">
        <v>94624517.48</v>
      </c>
      <c r="E67" s="149"/>
      <c r="F67" s="148">
        <v>83156746.83</v>
      </c>
      <c r="G67" s="149"/>
      <c r="H67" s="141">
        <v>94624517.48</v>
      </c>
      <c r="I67" s="149"/>
      <c r="J67" s="148">
        <v>83156746.83</v>
      </c>
    </row>
    <row r="68" spans="1:10" ht="24" customHeight="1">
      <c r="A68" s="15" t="s">
        <v>161</v>
      </c>
      <c r="B68" s="69">
        <v>15</v>
      </c>
      <c r="C68" s="19"/>
      <c r="D68" s="148">
        <v>900000000</v>
      </c>
      <c r="E68" s="149"/>
      <c r="F68" s="148">
        <v>1500000000</v>
      </c>
      <c r="G68" s="149"/>
      <c r="H68" s="148">
        <v>900000000</v>
      </c>
      <c r="I68" s="149"/>
      <c r="J68" s="148">
        <v>1500000000</v>
      </c>
    </row>
    <row r="69" spans="1:10" ht="24" customHeight="1">
      <c r="A69" s="15" t="s">
        <v>65</v>
      </c>
      <c r="B69" s="69"/>
      <c r="C69" s="69"/>
      <c r="D69" s="148">
        <v>4574409.75</v>
      </c>
      <c r="E69" s="149"/>
      <c r="F69" s="148">
        <v>4574409.75</v>
      </c>
      <c r="G69" s="149"/>
      <c r="H69" s="148">
        <v>4574409.75</v>
      </c>
      <c r="I69" s="149"/>
      <c r="J69" s="148">
        <v>4574409.75</v>
      </c>
    </row>
    <row r="70" spans="1:10" ht="24" customHeight="1">
      <c r="A70" s="15" t="s">
        <v>148</v>
      </c>
      <c r="B70" s="69">
        <v>16</v>
      </c>
      <c r="C70" s="69"/>
      <c r="D70" s="141">
        <v>56488351.17</v>
      </c>
      <c r="E70" s="149"/>
      <c r="F70" s="150">
        <v>72437395</v>
      </c>
      <c r="G70" s="149"/>
      <c r="H70" s="141">
        <v>56488351.17</v>
      </c>
      <c r="I70" s="149"/>
      <c r="J70" s="150">
        <v>72437395</v>
      </c>
    </row>
    <row r="71" spans="1:10" ht="24" customHeight="1">
      <c r="A71" s="15" t="s">
        <v>169</v>
      </c>
      <c r="B71" s="68"/>
      <c r="C71" s="69"/>
      <c r="D71" s="150">
        <f>401480022.86+51278487.72</f>
        <v>452758510.58000004</v>
      </c>
      <c r="E71" s="149"/>
      <c r="F71" s="150">
        <v>401480022.86</v>
      </c>
      <c r="G71" s="149"/>
      <c r="H71" s="150">
        <f>401480022.86+51278487.72</f>
        <v>452758510.58000004</v>
      </c>
      <c r="I71" s="149"/>
      <c r="J71" s="150">
        <v>401480022.86</v>
      </c>
    </row>
    <row r="72" spans="1:10" ht="24" customHeight="1">
      <c r="A72" s="15" t="s">
        <v>67</v>
      </c>
      <c r="B72" s="28"/>
      <c r="C72" s="28"/>
      <c r="D72" s="155">
        <f>SUM(D65:D71)</f>
        <v>1533563448.9300003</v>
      </c>
      <c r="E72" s="149"/>
      <c r="F72" s="155">
        <f>SUM(F65:F71)</f>
        <v>2095121680.8400002</v>
      </c>
      <c r="G72" s="149"/>
      <c r="H72" s="155">
        <f>SUM(H65:H71)</f>
        <v>1533563448.9300003</v>
      </c>
      <c r="I72" s="149"/>
      <c r="J72" s="155">
        <f>SUM(J65:J71)</f>
        <v>2095121680.8400002</v>
      </c>
    </row>
    <row r="73" spans="1:10" ht="24" customHeight="1">
      <c r="A73" s="15" t="s">
        <v>68</v>
      </c>
      <c r="B73" s="7"/>
      <c r="C73" s="7"/>
      <c r="D73" s="155">
        <f>SUM(D72+D63)</f>
        <v>2646286038.1600003</v>
      </c>
      <c r="E73" s="149"/>
      <c r="F73" s="155">
        <f>SUM(F72+F63)</f>
        <v>2730573030.07</v>
      </c>
      <c r="G73" s="149"/>
      <c r="H73" s="155">
        <f>SUM(H72+H63)</f>
        <v>2646286038.1600003</v>
      </c>
      <c r="I73" s="149"/>
      <c r="J73" s="155">
        <f>SUM(J72+J63)</f>
        <v>2730573030.07</v>
      </c>
    </row>
    <row r="74" spans="1:10" ht="24" customHeight="1">
      <c r="A74" s="15" t="s">
        <v>10</v>
      </c>
      <c r="B74" s="23"/>
      <c r="C74" s="23"/>
      <c r="D74" s="27"/>
      <c r="E74" s="23"/>
      <c r="F74" s="94"/>
      <c r="G74" s="23"/>
      <c r="H74" s="12"/>
      <c r="I74" s="13"/>
      <c r="J74" s="94"/>
    </row>
    <row r="75" spans="1:10" ht="24" customHeight="1">
      <c r="A75" s="15" t="s">
        <v>73</v>
      </c>
      <c r="B75" s="29"/>
      <c r="C75" s="29"/>
      <c r="D75" s="27"/>
      <c r="E75" s="23"/>
      <c r="F75" s="27"/>
      <c r="G75" s="23"/>
      <c r="H75" s="27"/>
      <c r="I75" s="23"/>
      <c r="J75" s="27"/>
    </row>
    <row r="76" spans="1:10" ht="24" customHeight="1">
      <c r="A76" s="15" t="s">
        <v>74</v>
      </c>
      <c r="B76" s="23"/>
      <c r="C76" s="23"/>
      <c r="D76" s="27"/>
      <c r="E76" s="23"/>
      <c r="F76" s="27"/>
      <c r="G76" s="23"/>
      <c r="H76" s="27"/>
      <c r="I76" s="23"/>
      <c r="J76" s="27"/>
    </row>
    <row r="77" spans="1:10" ht="24" customHeight="1" thickBot="1">
      <c r="A77" s="15" t="s">
        <v>75</v>
      </c>
      <c r="B77" s="23"/>
      <c r="C77" s="23"/>
      <c r="D77" s="162">
        <v>800000000</v>
      </c>
      <c r="E77" s="163"/>
      <c r="F77" s="162">
        <v>800000000</v>
      </c>
      <c r="G77" s="163"/>
      <c r="H77" s="162">
        <v>800000000</v>
      </c>
      <c r="I77" s="163"/>
      <c r="J77" s="162">
        <v>800000000</v>
      </c>
    </row>
    <row r="78" spans="1:10" ht="24" customHeight="1" thickTop="1">
      <c r="A78" s="15" t="s">
        <v>76</v>
      </c>
      <c r="B78" s="23"/>
      <c r="C78" s="23"/>
      <c r="D78" s="163"/>
      <c r="E78" s="163"/>
      <c r="F78" s="163"/>
      <c r="G78" s="163"/>
      <c r="H78" s="163"/>
      <c r="I78" s="163"/>
      <c r="J78" s="163"/>
    </row>
    <row r="79" spans="1:10" ht="24" customHeight="1">
      <c r="A79" s="15" t="s">
        <v>77</v>
      </c>
      <c r="B79" s="23"/>
      <c r="C79" s="23"/>
      <c r="D79" s="144">
        <f>'งบแสดงฯ '!E28</f>
        <v>494034300</v>
      </c>
      <c r="E79" s="142"/>
      <c r="F79" s="144">
        <f>'งบแสดงฯ '!E23</f>
        <v>494034300</v>
      </c>
      <c r="G79" s="142"/>
      <c r="H79" s="141">
        <f>'งบแสดงฯ เฉพาะ'!C25</f>
        <v>494034300</v>
      </c>
      <c r="I79" s="142"/>
      <c r="J79" s="144">
        <f>'งบแสดงฯ เฉพาะ'!C20</f>
        <v>494034300</v>
      </c>
    </row>
    <row r="80" spans="1:10" ht="24" customHeight="1">
      <c r="A80" s="15" t="s">
        <v>78</v>
      </c>
      <c r="B80" s="23"/>
      <c r="C80" s="23"/>
      <c r="D80" s="144">
        <f>'งบแสดงฯ '!G28</f>
        <v>1041357580</v>
      </c>
      <c r="E80" s="142"/>
      <c r="F80" s="144">
        <f>'งบแสดงฯ '!G23</f>
        <v>1041357580</v>
      </c>
      <c r="G80" s="142"/>
      <c r="H80" s="141">
        <f>'งบแสดงฯ เฉพาะ'!E25</f>
        <v>1041357580</v>
      </c>
      <c r="I80" s="142"/>
      <c r="J80" s="144">
        <f>'งบแสดงฯ เฉพาะ'!E20</f>
        <v>1041357580</v>
      </c>
    </row>
    <row r="81" spans="1:10" ht="24" customHeight="1">
      <c r="A81" s="15" t="s">
        <v>145</v>
      </c>
      <c r="B81" s="23"/>
      <c r="C81" s="23"/>
      <c r="D81" s="141">
        <f>'งบแสดงฯ '!I28</f>
        <v>6151888.73</v>
      </c>
      <c r="E81" s="142"/>
      <c r="F81" s="144">
        <f>'งบแสดงฯ '!I23</f>
        <v>6151888.73</v>
      </c>
      <c r="G81" s="142"/>
      <c r="H81" s="141">
        <v>0</v>
      </c>
      <c r="I81" s="142"/>
      <c r="J81" s="144">
        <v>0</v>
      </c>
    </row>
    <row r="82" spans="1:10" ht="23.25">
      <c r="A82" s="15" t="s">
        <v>87</v>
      </c>
      <c r="B82" s="23"/>
      <c r="C82" s="23"/>
      <c r="D82" s="142"/>
      <c r="E82" s="142"/>
      <c r="F82" s="142"/>
      <c r="G82" s="142"/>
      <c r="H82" s="142"/>
      <c r="I82" s="142"/>
      <c r="J82" s="142"/>
    </row>
    <row r="83" spans="1:10" ht="23.25">
      <c r="A83" s="15" t="s">
        <v>79</v>
      </c>
      <c r="B83" s="23"/>
      <c r="C83" s="23"/>
      <c r="D83" s="142"/>
      <c r="E83" s="142"/>
      <c r="F83" s="142"/>
      <c r="G83" s="142"/>
      <c r="H83" s="142"/>
      <c r="I83" s="142"/>
      <c r="J83" s="142"/>
    </row>
    <row r="84" spans="1:10" ht="24" customHeight="1">
      <c r="A84" s="15" t="s">
        <v>80</v>
      </c>
      <c r="B84" s="69">
        <v>19</v>
      </c>
      <c r="C84" s="23"/>
      <c r="D84" s="141">
        <f>'งบแสดงฯ '!M28</f>
        <v>80000000</v>
      </c>
      <c r="E84" s="142"/>
      <c r="F84" s="144">
        <f>'งบแสดงฯ '!M23</f>
        <v>80000000</v>
      </c>
      <c r="G84" s="142"/>
      <c r="H84" s="141">
        <f>'งบแสดงฯ เฉพาะ'!G25</f>
        <v>80000000</v>
      </c>
      <c r="I84" s="142"/>
      <c r="J84" s="144">
        <f>'งบแสดงฯ เฉพาะ'!G20</f>
        <v>80000000</v>
      </c>
    </row>
    <row r="85" spans="1:10" ht="24" customHeight="1">
      <c r="A85" s="15" t="s">
        <v>81</v>
      </c>
      <c r="B85" s="69">
        <v>20</v>
      </c>
      <c r="C85" s="23"/>
      <c r="D85" s="141">
        <f>'งบแสดงฯ '!O28</f>
        <v>280000000</v>
      </c>
      <c r="E85" s="142"/>
      <c r="F85" s="144">
        <f>'งบแสดงฯ '!O23</f>
        <v>280000000</v>
      </c>
      <c r="G85" s="142"/>
      <c r="H85" s="141">
        <f>'งบแสดงฯ เฉพาะ'!I25</f>
        <v>280000000</v>
      </c>
      <c r="I85" s="142"/>
      <c r="J85" s="144">
        <f>'งบแสดงฯ เฉพาะ'!I20</f>
        <v>280000000</v>
      </c>
    </row>
    <row r="86" spans="1:10" ht="24" customHeight="1">
      <c r="A86" s="15" t="s">
        <v>82</v>
      </c>
      <c r="B86" s="29"/>
      <c r="C86" s="29"/>
      <c r="D86" s="141">
        <f>'งบแสดงฯ '!Q28</f>
        <v>16548000190.35</v>
      </c>
      <c r="E86" s="163"/>
      <c r="F86" s="146">
        <f>'งบแสดงฯ '!Q23</f>
        <v>15177778024.67</v>
      </c>
      <c r="G86" s="163"/>
      <c r="H86" s="141">
        <f>'งบแสดงฯ เฉพาะ'!K25</f>
        <v>5876122588.47</v>
      </c>
      <c r="I86" s="163"/>
      <c r="J86" s="146">
        <f>'งบแสดงฯ เฉพาะ'!K20</f>
        <v>5248443640.05</v>
      </c>
    </row>
    <row r="87" spans="1:10" ht="24" customHeight="1">
      <c r="A87" s="15" t="s">
        <v>121</v>
      </c>
      <c r="B87" s="29"/>
      <c r="C87" s="29"/>
      <c r="D87" s="283">
        <f>'งบแสดงฯ '!AA28</f>
        <v>3780577403.55</v>
      </c>
      <c r="E87" s="163"/>
      <c r="F87" s="146">
        <f>'งบแสดงฯ '!AA23</f>
        <v>3277926563.63</v>
      </c>
      <c r="G87" s="163"/>
      <c r="H87" s="283">
        <f>'งบแสดงฯ เฉพาะ'!M25</f>
        <v>1810676346.01</v>
      </c>
      <c r="I87" s="163"/>
      <c r="J87" s="146">
        <f>'งบแสดงฯ เฉพาะ'!M20</f>
        <v>1570680878.31</v>
      </c>
    </row>
    <row r="88" spans="1:10" ht="24" customHeight="1">
      <c r="A88" s="15" t="s">
        <v>83</v>
      </c>
      <c r="B88" s="23"/>
      <c r="C88" s="23"/>
      <c r="D88" s="147">
        <f>SUM(D79:D87)</f>
        <v>22230121362.63</v>
      </c>
      <c r="E88" s="163"/>
      <c r="F88" s="147">
        <f>SUM(F79:F87)</f>
        <v>20357248357.03</v>
      </c>
      <c r="G88" s="163"/>
      <c r="H88" s="147">
        <f>SUM(H79:H87)</f>
        <v>9582190814.48</v>
      </c>
      <c r="I88" s="163"/>
      <c r="J88" s="147">
        <f>SUM(J79:J87)</f>
        <v>8714516398.36</v>
      </c>
    </row>
    <row r="89" spans="1:10" ht="24" customHeight="1" thickBot="1">
      <c r="A89" s="15" t="s">
        <v>11</v>
      </c>
      <c r="B89" s="23"/>
      <c r="C89" s="23"/>
      <c r="D89" s="161">
        <f>+D73+D88</f>
        <v>24876407400.79</v>
      </c>
      <c r="E89" s="163"/>
      <c r="F89" s="161">
        <f>+F73+F88</f>
        <v>23087821387.1</v>
      </c>
      <c r="G89" s="163"/>
      <c r="H89" s="161">
        <f>+H73+H88</f>
        <v>12228476852.64</v>
      </c>
      <c r="I89" s="163"/>
      <c r="J89" s="161">
        <f>+J73+J88</f>
        <v>11445089428.43</v>
      </c>
    </row>
    <row r="90" spans="1:10" ht="9" customHeight="1" thickTop="1">
      <c r="A90" s="15"/>
      <c r="B90" s="23"/>
      <c r="C90" s="23"/>
      <c r="D90" s="145"/>
      <c r="E90" s="145"/>
      <c r="F90" s="145"/>
      <c r="G90" s="145"/>
      <c r="H90" s="145"/>
      <c r="I90" s="145"/>
      <c r="J90" s="145"/>
    </row>
    <row r="91" spans="1:10" s="73" customFormat="1" ht="24" customHeight="1">
      <c r="A91" s="15" t="s">
        <v>5</v>
      </c>
      <c r="D91" s="235"/>
      <c r="F91" s="235"/>
      <c r="H91" s="235"/>
      <c r="J91" s="235"/>
    </row>
    <row r="92" spans="4:10" s="73" customFormat="1" ht="23.25">
      <c r="D92" s="235"/>
      <c r="F92" s="235"/>
      <c r="H92" s="235"/>
      <c r="J92" s="235"/>
    </row>
    <row r="93" spans="4:10" s="73" customFormat="1" ht="23.25">
      <c r="D93" s="235"/>
      <c r="F93" s="235"/>
      <c r="H93" s="235"/>
      <c r="J93" s="235"/>
    </row>
    <row r="94" spans="1:10" ht="25.5" customHeight="1">
      <c r="A94" s="96" t="s">
        <v>202</v>
      </c>
      <c r="B94" s="96"/>
      <c r="C94" s="96"/>
      <c r="D94" s="96"/>
      <c r="E94" s="96"/>
      <c r="F94" s="96"/>
      <c r="G94" s="96"/>
      <c r="H94" s="96"/>
      <c r="I94" s="96"/>
      <c r="J94" s="96"/>
    </row>
    <row r="95" spans="1:11" s="103" customFormat="1" ht="23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</row>
  </sheetData>
  <sheetProtection/>
  <mergeCells count="3">
    <mergeCell ref="D53:F53"/>
    <mergeCell ref="H53:J53"/>
    <mergeCell ref="H5:J5"/>
  </mergeCells>
  <printOptions/>
  <pageMargins left="0.6299212598425197" right="0" top="0.51" bottom="0.3937007874015748" header="0.2755905511811024" footer="0.2755905511811024"/>
  <pageSetup horizontalDpi="600" verticalDpi="600" orientation="portrait" paperSize="9" scale="70" r:id="rId1"/>
  <headerFooter alignWithMargins="0">
    <oddFooter>&amp;R&amp;"AngsanaUPC,ตัวปกติ"&amp;10
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SheetLayoutView="100" zoomScalePageLayoutView="0" workbookViewId="0" topLeftCell="A34">
      <selection activeCell="A5" sqref="A4:A5"/>
    </sheetView>
  </sheetViews>
  <sheetFormatPr defaultColWidth="9.140625" defaultRowHeight="22.5" customHeight="1"/>
  <cols>
    <col min="1" max="2" width="4.140625" style="36" customWidth="1"/>
    <col min="3" max="3" width="31.8515625" style="36" customWidth="1"/>
    <col min="4" max="4" width="10.8515625" style="36" customWidth="1"/>
    <col min="5" max="5" width="18.8515625" style="36" customWidth="1"/>
    <col min="6" max="6" width="1.57421875" style="36" customWidth="1"/>
    <col min="7" max="7" width="18.7109375" style="36" customWidth="1"/>
    <col min="8" max="8" width="1.421875" style="36" customWidth="1"/>
    <col min="9" max="9" width="18.57421875" style="36" bestFit="1" customWidth="1"/>
    <col min="10" max="10" width="1.7109375" style="36" customWidth="1"/>
    <col min="11" max="11" width="18.421875" style="36" customWidth="1"/>
    <col min="12" max="12" width="1.7109375" style="36" customWidth="1"/>
    <col min="13" max="13" width="10.28125" style="36" bestFit="1" customWidth="1"/>
    <col min="14" max="16384" width="9.140625" style="36" customWidth="1"/>
  </cols>
  <sheetData>
    <row r="1" spans="1:11" s="103" customFormat="1" ht="22.5" customHeight="1">
      <c r="A1" s="102" t="s">
        <v>207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2.5" customHeight="1">
      <c r="A2" s="28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2.5" customHeight="1">
      <c r="A3" s="41" t="s">
        <v>240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8" customFormat="1" ht="22.5" customHeight="1">
      <c r="A4" s="41" t="s">
        <v>166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03" customFormat="1" ht="22.5" customHeight="1">
      <c r="A5" s="104"/>
      <c r="B5" s="104"/>
      <c r="C5" s="104"/>
      <c r="K5" s="105" t="s">
        <v>86</v>
      </c>
    </row>
    <row r="6" spans="1:11" s="103" customFormat="1" ht="22.5" customHeight="1">
      <c r="A6" s="104"/>
      <c r="B6" s="104"/>
      <c r="C6" s="104"/>
      <c r="E6" s="294" t="s">
        <v>51</v>
      </c>
      <c r="F6" s="294"/>
      <c r="G6" s="294"/>
      <c r="I6" s="106"/>
      <c r="J6" s="106" t="s">
        <v>50</v>
      </c>
      <c r="K6" s="107"/>
    </row>
    <row r="7" spans="1:11" s="103" customFormat="1" ht="23.25">
      <c r="A7" s="108"/>
      <c r="B7" s="108"/>
      <c r="C7" s="108"/>
      <c r="D7" s="113"/>
      <c r="E7" s="110" t="s">
        <v>214</v>
      </c>
      <c r="F7" s="111"/>
      <c r="G7" s="110" t="s">
        <v>193</v>
      </c>
      <c r="H7" s="109"/>
      <c r="I7" s="110" t="s">
        <v>214</v>
      </c>
      <c r="J7" s="111"/>
      <c r="K7" s="110" t="s">
        <v>193</v>
      </c>
    </row>
    <row r="8" spans="1:11" s="103" customFormat="1" ht="22.5" customHeight="1">
      <c r="A8" s="112" t="s">
        <v>12</v>
      </c>
      <c r="B8" s="112"/>
      <c r="C8" s="101"/>
      <c r="E8" s="178"/>
      <c r="F8" s="114"/>
      <c r="G8" s="178"/>
      <c r="H8" s="114"/>
      <c r="I8" s="179"/>
      <c r="J8" s="114"/>
      <c r="K8" s="178"/>
    </row>
    <row r="9" spans="1:11" s="103" customFormat="1" ht="22.5" customHeight="1">
      <c r="A9" s="101"/>
      <c r="B9" s="101" t="s">
        <v>92</v>
      </c>
      <c r="D9" s="113"/>
      <c r="E9" s="238">
        <f>529722457.63-17343919</f>
        <v>512378538.63</v>
      </c>
      <c r="F9" s="239"/>
      <c r="G9" s="238">
        <f>501351204.33+12893463.37+6581246.61-13926751.29</f>
        <v>506899163.02</v>
      </c>
      <c r="H9" s="238"/>
      <c r="I9" s="238">
        <f>529722457.63-17343919</f>
        <v>512378538.63</v>
      </c>
      <c r="J9" s="238"/>
      <c r="K9" s="238">
        <f>501351204.33+12893463.37+6581246.61-13926751.29</f>
        <v>506899163.02</v>
      </c>
    </row>
    <row r="10" spans="1:11" s="103" customFormat="1" ht="22.5" customHeight="1">
      <c r="A10" s="101"/>
      <c r="B10" s="101" t="s">
        <v>103</v>
      </c>
      <c r="D10" s="113"/>
      <c r="E10" s="238">
        <v>72303750</v>
      </c>
      <c r="F10" s="239"/>
      <c r="G10" s="238">
        <v>161877075.39</v>
      </c>
      <c r="H10" s="238"/>
      <c r="I10" s="238">
        <v>72303750</v>
      </c>
      <c r="J10" s="238"/>
      <c r="K10" s="238">
        <v>161877075.39</v>
      </c>
    </row>
    <row r="11" spans="1:11" s="103" customFormat="1" ht="22.5" customHeight="1">
      <c r="A11" s="101"/>
      <c r="B11" s="101" t="s">
        <v>104</v>
      </c>
      <c r="D11" s="113"/>
      <c r="E11" s="238">
        <v>107674035.61999995</v>
      </c>
      <c r="F11" s="239"/>
      <c r="G11" s="238">
        <v>99796467.17</v>
      </c>
      <c r="H11" s="238"/>
      <c r="I11" s="238">
        <v>107674035.61999995</v>
      </c>
      <c r="J11" s="238"/>
      <c r="K11" s="238">
        <v>99796467.17</v>
      </c>
    </row>
    <row r="12" spans="1:11" s="103" customFormat="1" ht="22.5" customHeight="1">
      <c r="A12" s="101"/>
      <c r="B12" s="101" t="s">
        <v>46</v>
      </c>
      <c r="D12" s="113"/>
      <c r="E12" s="238"/>
      <c r="F12" s="239"/>
      <c r="G12" s="238"/>
      <c r="H12" s="238"/>
      <c r="I12" s="238"/>
      <c r="J12" s="238"/>
      <c r="K12" s="238"/>
    </row>
    <row r="13" spans="1:11" s="103" customFormat="1" ht="22.5" customHeight="1">
      <c r="A13" s="115"/>
      <c r="B13" s="103" t="s">
        <v>47</v>
      </c>
      <c r="D13" s="113"/>
      <c r="E13" s="238">
        <v>183342600.5999999</v>
      </c>
      <c r="F13" s="239"/>
      <c r="G13" s="238">
        <v>319597295.75</v>
      </c>
      <c r="H13" s="238"/>
      <c r="I13" s="238">
        <v>0</v>
      </c>
      <c r="J13" s="238"/>
      <c r="K13" s="238">
        <v>0</v>
      </c>
    </row>
    <row r="14" spans="1:11" s="103" customFormat="1" ht="22.5" customHeight="1">
      <c r="A14" s="115"/>
      <c r="B14" s="101" t="s">
        <v>93</v>
      </c>
      <c r="D14" s="113"/>
      <c r="E14" s="238">
        <v>700000</v>
      </c>
      <c r="F14" s="239"/>
      <c r="G14" s="238">
        <v>10590066.2</v>
      </c>
      <c r="H14" s="238"/>
      <c r="I14" s="238">
        <v>700000</v>
      </c>
      <c r="J14" s="238"/>
      <c r="K14" s="238">
        <v>18990066.2</v>
      </c>
    </row>
    <row r="15" spans="1:11" s="103" customFormat="1" ht="22.5" customHeight="1">
      <c r="A15" s="115"/>
      <c r="B15" s="115" t="s">
        <v>40</v>
      </c>
      <c r="C15" s="101"/>
      <c r="D15" s="113"/>
      <c r="E15" s="238"/>
      <c r="F15" s="239"/>
      <c r="G15" s="238"/>
      <c r="H15" s="238"/>
      <c r="I15" s="238"/>
      <c r="J15" s="238"/>
      <c r="K15" s="238"/>
    </row>
    <row r="16" spans="1:11" s="103" customFormat="1" ht="22.5" customHeight="1">
      <c r="A16" s="115"/>
      <c r="B16" s="115"/>
      <c r="C16" s="101" t="s">
        <v>94</v>
      </c>
      <c r="D16" s="113"/>
      <c r="E16" s="238">
        <v>2200003</v>
      </c>
      <c r="F16" s="239"/>
      <c r="G16" s="238">
        <v>24999</v>
      </c>
      <c r="H16" s="238"/>
      <c r="I16" s="238">
        <v>2200003</v>
      </c>
      <c r="J16" s="238"/>
      <c r="K16" s="238">
        <v>24999</v>
      </c>
    </row>
    <row r="17" spans="1:11" s="103" customFormat="1" ht="22.5" customHeight="1">
      <c r="A17" s="115"/>
      <c r="B17" s="115"/>
      <c r="C17" s="101" t="s">
        <v>231</v>
      </c>
      <c r="D17" s="113"/>
      <c r="E17" s="238">
        <v>0</v>
      </c>
      <c r="F17" s="239"/>
      <c r="G17" s="238">
        <v>191672.92</v>
      </c>
      <c r="H17" s="238"/>
      <c r="I17" s="238">
        <v>0</v>
      </c>
      <c r="J17" s="238"/>
      <c r="K17" s="238">
        <v>191672.92</v>
      </c>
    </row>
    <row r="18" spans="1:11" s="103" customFormat="1" ht="22.5" customHeight="1">
      <c r="A18" s="115"/>
      <c r="B18" s="115"/>
      <c r="C18" s="101" t="s">
        <v>219</v>
      </c>
      <c r="D18" s="113"/>
      <c r="E18" s="238"/>
      <c r="F18" s="239"/>
      <c r="G18" s="238"/>
      <c r="H18" s="238"/>
      <c r="I18" s="238"/>
      <c r="J18" s="238"/>
      <c r="K18" s="238"/>
    </row>
    <row r="19" spans="1:11" s="103" customFormat="1" ht="22.5" customHeight="1">
      <c r="A19" s="115"/>
      <c r="B19" s="115"/>
      <c r="C19" s="101" t="s">
        <v>241</v>
      </c>
      <c r="D19" s="113"/>
      <c r="E19" s="238">
        <v>0</v>
      </c>
      <c r="F19" s="239"/>
      <c r="G19" s="238">
        <v>3242209.46</v>
      </c>
      <c r="H19" s="238"/>
      <c r="I19" s="238">
        <v>0</v>
      </c>
      <c r="J19" s="238"/>
      <c r="K19" s="238">
        <v>3242209.46</v>
      </c>
    </row>
    <row r="20" spans="1:11" s="103" customFormat="1" ht="22.5" customHeight="1">
      <c r="A20" s="115"/>
      <c r="B20" s="115"/>
      <c r="C20" s="101" t="s">
        <v>253</v>
      </c>
      <c r="D20" s="113"/>
      <c r="E20" s="238"/>
      <c r="F20" s="239"/>
      <c r="G20" s="238"/>
      <c r="H20" s="239"/>
      <c r="I20" s="238"/>
      <c r="J20" s="238"/>
      <c r="K20" s="238"/>
    </row>
    <row r="21" spans="1:11" s="103" customFormat="1" ht="22.5" customHeight="1">
      <c r="A21" s="115"/>
      <c r="B21" s="115"/>
      <c r="C21" s="101" t="s">
        <v>254</v>
      </c>
      <c r="D21" s="113"/>
      <c r="E21" s="238">
        <v>0</v>
      </c>
      <c r="F21" s="239"/>
      <c r="G21" s="238">
        <v>56728971.88</v>
      </c>
      <c r="H21" s="239"/>
      <c r="I21" s="238">
        <v>0</v>
      </c>
      <c r="J21" s="238"/>
      <c r="K21" s="238">
        <v>56728971.88</v>
      </c>
    </row>
    <row r="22" spans="1:11" s="103" customFormat="1" ht="22.5" customHeight="1">
      <c r="A22" s="115"/>
      <c r="B22" s="115"/>
      <c r="C22" s="101" t="s">
        <v>219</v>
      </c>
      <c r="D22" s="113"/>
      <c r="E22" s="238"/>
      <c r="F22" s="239"/>
      <c r="G22" s="238"/>
      <c r="H22" s="238"/>
      <c r="I22" s="238"/>
      <c r="J22" s="238"/>
      <c r="K22" s="238"/>
    </row>
    <row r="23" spans="1:11" s="103" customFormat="1" ht="22.5" customHeight="1">
      <c r="A23" s="115"/>
      <c r="B23" s="115"/>
      <c r="C23" s="101" t="s">
        <v>242</v>
      </c>
      <c r="D23" s="113"/>
      <c r="E23" s="238">
        <v>0</v>
      </c>
      <c r="F23" s="239"/>
      <c r="G23" s="238">
        <v>8349863</v>
      </c>
      <c r="H23" s="238"/>
      <c r="I23" s="238">
        <v>0</v>
      </c>
      <c r="J23" s="238"/>
      <c r="K23" s="238">
        <v>8349863</v>
      </c>
    </row>
    <row r="24" spans="1:11" s="103" customFormat="1" ht="22.5" customHeight="1">
      <c r="A24" s="115"/>
      <c r="B24" s="115"/>
      <c r="C24" s="101" t="s">
        <v>95</v>
      </c>
      <c r="D24" s="113"/>
      <c r="E24" s="238">
        <v>137451.70999999996</v>
      </c>
      <c r="F24" s="239"/>
      <c r="G24" s="238">
        <v>157135.37</v>
      </c>
      <c r="H24" s="238"/>
      <c r="I24" s="238">
        <v>137451.70999999996</v>
      </c>
      <c r="J24" s="238"/>
      <c r="K24" s="238">
        <v>157135.37</v>
      </c>
    </row>
    <row r="25" spans="1:11" s="103" customFormat="1" ht="22.5" customHeight="1">
      <c r="A25" s="115"/>
      <c r="B25" s="115"/>
      <c r="C25" s="121" t="s">
        <v>96</v>
      </c>
      <c r="D25" s="113"/>
      <c r="E25" s="238">
        <v>484248.83999999997</v>
      </c>
      <c r="F25" s="239"/>
      <c r="G25" s="238">
        <v>724288.99</v>
      </c>
      <c r="H25" s="238"/>
      <c r="I25" s="238">
        <v>484248.83999999997</v>
      </c>
      <c r="J25" s="238"/>
      <c r="K25" s="238">
        <v>724288.99</v>
      </c>
    </row>
    <row r="26" spans="1:11" s="103" customFormat="1" ht="22.5" customHeight="1">
      <c r="A26" s="115"/>
      <c r="B26" s="115"/>
      <c r="C26" s="121" t="s">
        <v>267</v>
      </c>
      <c r="D26" s="113"/>
      <c r="E26" s="238">
        <f>1151326.02-234081.89</f>
        <v>917244.13</v>
      </c>
      <c r="F26" s="239"/>
      <c r="G26" s="238">
        <v>0</v>
      </c>
      <c r="H26" s="239"/>
      <c r="I26" s="238">
        <f>1151326.02-234081.89</f>
        <v>917244.13</v>
      </c>
      <c r="J26" s="238"/>
      <c r="K26" s="238">
        <v>0</v>
      </c>
    </row>
    <row r="27" spans="1:11" s="103" customFormat="1" ht="22.5" customHeight="1">
      <c r="A27" s="115"/>
      <c r="B27" s="115"/>
      <c r="C27" s="101" t="s">
        <v>97</v>
      </c>
      <c r="D27" s="113"/>
      <c r="E27" s="284">
        <f>-13519078.68+17343919</f>
        <v>3824840.3200000003</v>
      </c>
      <c r="F27" s="239"/>
      <c r="G27" s="238">
        <f>11220964.16-12893463.37-6581246.61+13926751.29</f>
        <v>5673005.47</v>
      </c>
      <c r="H27" s="238"/>
      <c r="I27" s="284">
        <f>-13519078.68+17343919</f>
        <v>3824840.3200000003</v>
      </c>
      <c r="J27" s="238"/>
      <c r="K27" s="238">
        <f>11220964.16-12893463.37-6581246.61+13926751.29</f>
        <v>5673005.47</v>
      </c>
    </row>
    <row r="28" spans="1:11" s="103" customFormat="1" ht="22.5" customHeight="1">
      <c r="A28" s="115"/>
      <c r="B28" s="112" t="s">
        <v>105</v>
      </c>
      <c r="D28" s="113"/>
      <c r="E28" s="241">
        <f>SUM(E9:E27)</f>
        <v>883962712.85</v>
      </c>
      <c r="F28" s="242"/>
      <c r="G28" s="241">
        <f>SUM(G9:G27)</f>
        <v>1173852213.6200001</v>
      </c>
      <c r="H28" s="242"/>
      <c r="I28" s="241">
        <f>SUM(I9:I27)</f>
        <v>700620112.2500001</v>
      </c>
      <c r="J28" s="242"/>
      <c r="K28" s="241">
        <f>SUM(K9:K27)</f>
        <v>862654917.87</v>
      </c>
    </row>
    <row r="29" spans="1:11" s="103" customFormat="1" ht="22.5" customHeight="1">
      <c r="A29" s="112" t="s">
        <v>14</v>
      </c>
      <c r="B29" s="112"/>
      <c r="C29" s="101"/>
      <c r="D29" s="116"/>
      <c r="E29" s="242"/>
      <c r="F29" s="242"/>
      <c r="G29" s="242"/>
      <c r="H29" s="242"/>
      <c r="I29" s="242"/>
      <c r="J29" s="242"/>
      <c r="K29" s="242"/>
    </row>
    <row r="30" spans="1:11" s="103" customFormat="1" ht="22.5" customHeight="1">
      <c r="A30" s="101"/>
      <c r="B30" s="101" t="s">
        <v>100</v>
      </c>
      <c r="C30" s="101"/>
      <c r="D30" s="117"/>
      <c r="E30" s="238">
        <v>462072073.1400001</v>
      </c>
      <c r="F30" s="239"/>
      <c r="G30" s="238">
        <v>462481676.11</v>
      </c>
      <c r="H30" s="238"/>
      <c r="I30" s="238">
        <v>462072073.1400001</v>
      </c>
      <c r="J30" s="238"/>
      <c r="K30" s="238">
        <v>462481676.11</v>
      </c>
    </row>
    <row r="31" spans="1:11" s="103" customFormat="1" ht="22.5" customHeight="1">
      <c r="A31" s="101"/>
      <c r="B31" s="101" t="s">
        <v>41</v>
      </c>
      <c r="C31" s="101"/>
      <c r="D31" s="117"/>
      <c r="E31" s="238">
        <v>6038417.5500000045</v>
      </c>
      <c r="F31" s="239"/>
      <c r="G31" s="238">
        <v>12570922.47</v>
      </c>
      <c r="H31" s="238"/>
      <c r="I31" s="238">
        <v>6038417.5500000045</v>
      </c>
      <c r="J31" s="238"/>
      <c r="K31" s="238">
        <v>12570922.47</v>
      </c>
    </row>
    <row r="32" spans="1:11" s="103" customFormat="1" ht="22.5" customHeight="1">
      <c r="A32" s="101"/>
      <c r="B32" s="101" t="s">
        <v>152</v>
      </c>
      <c r="C32" s="101"/>
      <c r="D32" s="117"/>
      <c r="E32" s="238">
        <v>93816764.54999998</v>
      </c>
      <c r="F32" s="238"/>
      <c r="G32" s="238">
        <v>80810590.74</v>
      </c>
      <c r="H32" s="238"/>
      <c r="I32" s="238">
        <v>93816764.54999998</v>
      </c>
      <c r="J32" s="238"/>
      <c r="K32" s="238">
        <v>80810590.74</v>
      </c>
    </row>
    <row r="33" spans="1:11" s="103" customFormat="1" ht="22.5" customHeight="1">
      <c r="A33" s="101"/>
      <c r="B33" s="101" t="s">
        <v>106</v>
      </c>
      <c r="C33" s="101"/>
      <c r="D33" s="119"/>
      <c r="E33" s="238"/>
      <c r="F33" s="238"/>
      <c r="G33" s="238"/>
      <c r="H33" s="238"/>
      <c r="I33" s="238"/>
      <c r="J33" s="238"/>
      <c r="K33" s="238"/>
    </row>
    <row r="34" spans="1:11" s="103" customFormat="1" ht="22.5" customHeight="1">
      <c r="A34" s="101"/>
      <c r="B34" s="103" t="s">
        <v>107</v>
      </c>
      <c r="D34" s="119"/>
      <c r="E34" s="238">
        <v>21501699.290000003</v>
      </c>
      <c r="F34" s="238"/>
      <c r="G34" s="238">
        <v>15816875.99</v>
      </c>
      <c r="H34" s="238"/>
      <c r="I34" s="238">
        <v>0</v>
      </c>
      <c r="J34" s="238"/>
      <c r="K34" s="238">
        <v>0</v>
      </c>
    </row>
    <row r="35" spans="1:11" s="103" customFormat="1" ht="22.5" customHeight="1">
      <c r="A35" s="101"/>
      <c r="B35" s="101" t="s">
        <v>101</v>
      </c>
      <c r="C35" s="101"/>
      <c r="D35" s="117"/>
      <c r="E35" s="238">
        <f>130622965.73-234081.89</f>
        <v>130388883.84</v>
      </c>
      <c r="F35" s="238"/>
      <c r="G35" s="238">
        <f>131006070.31+3502918.81</f>
        <v>134508989.12</v>
      </c>
      <c r="H35" s="238"/>
      <c r="I35" s="238">
        <f>130622965.73-234081.89</f>
        <v>130388883.84</v>
      </c>
      <c r="J35" s="238"/>
      <c r="K35" s="238">
        <f>131006070.31+3502918.81</f>
        <v>134508989.12</v>
      </c>
    </row>
    <row r="36" spans="1:11" s="103" customFormat="1" ht="22.5" customHeight="1">
      <c r="A36" s="101"/>
      <c r="B36" s="101" t="s">
        <v>98</v>
      </c>
      <c r="C36" s="101"/>
      <c r="D36" s="113"/>
      <c r="E36" s="238"/>
      <c r="F36" s="238"/>
      <c r="G36" s="238"/>
      <c r="H36" s="238"/>
      <c r="I36" s="238"/>
      <c r="J36" s="238"/>
      <c r="K36" s="238"/>
    </row>
    <row r="37" spans="1:11" s="103" customFormat="1" ht="22.5" customHeight="1">
      <c r="A37" s="101"/>
      <c r="B37" s="101"/>
      <c r="C37" s="101" t="s">
        <v>91</v>
      </c>
      <c r="D37" s="113"/>
      <c r="E37" s="238">
        <v>44132.63</v>
      </c>
      <c r="F37" s="238"/>
      <c r="G37" s="238">
        <v>124647.66</v>
      </c>
      <c r="H37" s="238"/>
      <c r="I37" s="238">
        <v>44132.63</v>
      </c>
      <c r="J37" s="238"/>
      <c r="K37" s="238">
        <v>124647.66</v>
      </c>
    </row>
    <row r="38" spans="1:11" s="103" customFormat="1" ht="22.5" customHeight="1">
      <c r="A38" s="101"/>
      <c r="B38" s="101"/>
      <c r="C38" s="101" t="s">
        <v>243</v>
      </c>
      <c r="D38" s="113"/>
      <c r="E38" s="238">
        <v>1591370</v>
      </c>
      <c r="F38" s="238"/>
      <c r="G38" s="238">
        <v>0</v>
      </c>
      <c r="H38" s="238"/>
      <c r="I38" s="238">
        <v>1591370</v>
      </c>
      <c r="J38" s="238"/>
      <c r="K38" s="238">
        <v>32001814.25</v>
      </c>
    </row>
    <row r="39" spans="1:11" s="103" customFormat="1" ht="22.5" customHeight="1">
      <c r="A39" s="101"/>
      <c r="B39" s="101"/>
      <c r="C39" s="101" t="s">
        <v>255</v>
      </c>
      <c r="D39" s="113"/>
      <c r="E39" s="238"/>
      <c r="F39" s="238"/>
      <c r="G39" s="238"/>
      <c r="H39" s="238"/>
      <c r="I39" s="238"/>
      <c r="J39" s="238"/>
      <c r="K39" s="238"/>
    </row>
    <row r="40" spans="1:11" s="103" customFormat="1" ht="22.5" customHeight="1">
      <c r="A40" s="101"/>
      <c r="B40" s="101"/>
      <c r="C40" s="101" t="s">
        <v>256</v>
      </c>
      <c r="D40" s="113"/>
      <c r="E40" s="238">
        <v>0</v>
      </c>
      <c r="F40" s="238"/>
      <c r="G40" s="238">
        <v>8939741.82</v>
      </c>
      <c r="H40" s="238"/>
      <c r="I40" s="238">
        <v>0</v>
      </c>
      <c r="J40" s="238"/>
      <c r="K40" s="238">
        <v>8939741.82</v>
      </c>
    </row>
    <row r="41" spans="1:11" s="103" customFormat="1" ht="22.5" customHeight="1">
      <c r="A41" s="101"/>
      <c r="B41" s="101" t="s">
        <v>99</v>
      </c>
      <c r="D41" s="113"/>
      <c r="E41" s="238">
        <v>10477426.079999994</v>
      </c>
      <c r="F41" s="238"/>
      <c r="G41" s="238">
        <v>10557225.78</v>
      </c>
      <c r="H41" s="238"/>
      <c r="I41" s="238">
        <v>10477426.079999994</v>
      </c>
      <c r="J41" s="238"/>
      <c r="K41" s="238">
        <v>10557225.78</v>
      </c>
    </row>
    <row r="42" spans="1:11" s="103" customFormat="1" ht="22.5" customHeight="1">
      <c r="A42" s="115"/>
      <c r="B42" s="115"/>
      <c r="C42" s="112" t="s">
        <v>108</v>
      </c>
      <c r="D42" s="113"/>
      <c r="E42" s="244">
        <f>SUM(E30:E41)</f>
        <v>725930767.0800002</v>
      </c>
      <c r="F42" s="242"/>
      <c r="G42" s="244">
        <f>SUM(G30:G41)</f>
        <v>725810669.69</v>
      </c>
      <c r="H42" s="242"/>
      <c r="I42" s="244">
        <f>SUM(I30:I41)</f>
        <v>704429067.7900002</v>
      </c>
      <c r="J42" s="242"/>
      <c r="K42" s="244">
        <f>SUM(K30:K41)</f>
        <v>741995607.95</v>
      </c>
    </row>
    <row r="43" spans="1:11" s="103" customFormat="1" ht="22.5" customHeight="1">
      <c r="A43" s="120" t="s">
        <v>268</v>
      </c>
      <c r="B43" s="115"/>
      <c r="C43" s="112"/>
      <c r="D43" s="113"/>
      <c r="E43" s="240">
        <f>E28-E42</f>
        <v>158031945.76999986</v>
      </c>
      <c r="F43" s="239"/>
      <c r="G43" s="240">
        <f>G28-G42</f>
        <v>448041543.93000007</v>
      </c>
      <c r="H43" s="239"/>
      <c r="I43" s="240">
        <f>I28-I42</f>
        <v>-3808955.540000081</v>
      </c>
      <c r="J43" s="239"/>
      <c r="K43" s="240">
        <f>K28-K42</f>
        <v>120659309.91999996</v>
      </c>
    </row>
    <row r="44" spans="1:11" s="103" customFormat="1" ht="22.5" customHeight="1">
      <c r="A44" s="115"/>
      <c r="B44" s="115" t="s">
        <v>173</v>
      </c>
      <c r="C44" s="112"/>
      <c r="D44" s="119"/>
      <c r="E44" s="285">
        <f>5646775.78-11282863.87</f>
        <v>-5636088.089999999</v>
      </c>
      <c r="F44" s="245"/>
      <c r="G44" s="245">
        <v>-22898477.12</v>
      </c>
      <c r="H44" s="239"/>
      <c r="I44" s="285">
        <f>6696775.78-12332863.87</f>
        <v>-5636088.089999999</v>
      </c>
      <c r="J44" s="239"/>
      <c r="K44" s="245">
        <v>-16498114.27</v>
      </c>
    </row>
    <row r="45" spans="1:11" s="103" customFormat="1" ht="22.5" customHeight="1">
      <c r="A45" s="120" t="s">
        <v>269</v>
      </c>
      <c r="B45" s="115"/>
      <c r="C45" s="112"/>
      <c r="D45" s="113"/>
      <c r="E45" s="244">
        <f>SUM(E43:E44)</f>
        <v>152395857.67999986</v>
      </c>
      <c r="F45" s="242"/>
      <c r="G45" s="244">
        <f>SUM(G43:G44)</f>
        <v>425143066.81000006</v>
      </c>
      <c r="H45" s="242"/>
      <c r="I45" s="244">
        <f>SUM(I43:I44)</f>
        <v>-9445043.63000008</v>
      </c>
      <c r="J45" s="242"/>
      <c r="K45" s="244">
        <f>SUM(K43:K44)</f>
        <v>104161195.64999996</v>
      </c>
    </row>
    <row r="46" spans="1:11" s="103" customFormat="1" ht="7.5" customHeight="1">
      <c r="A46" s="120"/>
      <c r="B46" s="115"/>
      <c r="C46" s="112"/>
      <c r="D46" s="113"/>
      <c r="E46" s="184"/>
      <c r="F46" s="185"/>
      <c r="G46" s="184"/>
      <c r="H46" s="185"/>
      <c r="I46" s="184"/>
      <c r="J46" s="185"/>
      <c r="K46" s="184"/>
    </row>
    <row r="47" spans="1:4" s="103" customFormat="1" ht="22.5" customHeight="1">
      <c r="A47" s="101" t="s">
        <v>5</v>
      </c>
      <c r="B47" s="101"/>
      <c r="C47" s="101"/>
      <c r="D47" s="114"/>
    </row>
    <row r="48" spans="1:4" s="103" customFormat="1" ht="37.5" customHeight="1">
      <c r="A48" s="101"/>
      <c r="B48" s="101"/>
      <c r="C48" s="101"/>
      <c r="D48" s="114"/>
    </row>
    <row r="49" spans="1:11" s="103" customFormat="1" ht="22.5" customHeight="1">
      <c r="A49" s="96" t="s">
        <v>215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22.5" customHeight="1">
      <c r="A50" s="97" t="s">
        <v>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2.5" customHeight="1">
      <c r="A51" s="97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22.5" customHeight="1">
      <c r="A52" s="102" t="s">
        <v>207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22.5" customHeight="1">
      <c r="A53" s="41" t="s">
        <v>139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s="8" customFormat="1" ht="22.5" customHeight="1">
      <c r="A54" s="41" t="s">
        <v>240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s="8" customFormat="1" ht="22.5" customHeight="1">
      <c r="A55" s="41" t="s">
        <v>166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22.5" customHeight="1">
      <c r="A56" s="34"/>
      <c r="B56" s="34"/>
      <c r="C56" s="34"/>
      <c r="K56" s="37" t="s">
        <v>86</v>
      </c>
    </row>
    <row r="57" spans="1:11" ht="22.5" customHeight="1">
      <c r="A57" s="34"/>
      <c r="B57" s="34"/>
      <c r="C57" s="34"/>
      <c r="E57" s="295" t="s">
        <v>51</v>
      </c>
      <c r="F57" s="295"/>
      <c r="G57" s="295"/>
      <c r="I57" s="35"/>
      <c r="J57" s="35" t="s">
        <v>50</v>
      </c>
      <c r="K57" s="38"/>
    </row>
    <row r="58" spans="1:11" ht="22.5" customHeight="1">
      <c r="A58" s="1"/>
      <c r="B58" s="1"/>
      <c r="C58" s="1"/>
      <c r="D58" s="33"/>
      <c r="E58" s="110" t="s">
        <v>214</v>
      </c>
      <c r="F58" s="111"/>
      <c r="G58" s="110" t="s">
        <v>193</v>
      </c>
      <c r="H58" s="109"/>
      <c r="I58" s="110" t="s">
        <v>214</v>
      </c>
      <c r="J58" s="111"/>
      <c r="K58" s="110" t="s">
        <v>193</v>
      </c>
    </row>
    <row r="59" spans="1:11" ht="23.25">
      <c r="A59" s="74" t="s">
        <v>198</v>
      </c>
      <c r="B59" s="75"/>
      <c r="C59" s="75"/>
      <c r="D59" s="75"/>
      <c r="E59" s="234"/>
      <c r="F59" s="76"/>
      <c r="G59" s="94"/>
      <c r="H59" s="14"/>
      <c r="I59" s="12"/>
      <c r="J59" s="13"/>
      <c r="K59" s="94"/>
    </row>
    <row r="60" spans="1:11" ht="23.25">
      <c r="A60" s="233" t="s">
        <v>197</v>
      </c>
      <c r="B60" s="232"/>
      <c r="C60" s="213"/>
      <c r="D60" s="75"/>
      <c r="E60" s="181"/>
      <c r="F60" s="39"/>
      <c r="G60" s="181"/>
      <c r="H60" s="183"/>
      <c r="I60" s="181"/>
      <c r="J60" s="183"/>
      <c r="K60" s="216"/>
    </row>
    <row r="61" spans="1:11" ht="23.25">
      <c r="A61" s="77"/>
      <c r="B61" s="74" t="s">
        <v>167</v>
      </c>
      <c r="C61" s="139"/>
      <c r="E61" s="181"/>
      <c r="F61" s="180"/>
      <c r="G61" s="215"/>
      <c r="H61" s="182"/>
      <c r="I61" s="181"/>
      <c r="J61" s="180"/>
      <c r="K61" s="215"/>
    </row>
    <row r="62" spans="1:11" ht="23.25">
      <c r="A62" s="77"/>
      <c r="B62" s="138"/>
      <c r="C62" s="140" t="s">
        <v>177</v>
      </c>
      <c r="E62" s="246">
        <f>84444711.69-59998866.92</f>
        <v>24445844.769999996</v>
      </c>
      <c r="F62" s="247"/>
      <c r="G62" s="181">
        <v>7561521.15</v>
      </c>
      <c r="H62" s="248"/>
      <c r="I62" s="246">
        <f>84444711.69-59998866.92</f>
        <v>24445844.769999996</v>
      </c>
      <c r="J62" s="248"/>
      <c r="K62" s="181">
        <v>7561521.15</v>
      </c>
    </row>
    <row r="63" spans="1:11" ht="23.25">
      <c r="A63" s="77"/>
      <c r="B63" s="74" t="s">
        <v>167</v>
      </c>
      <c r="C63" s="74"/>
      <c r="E63" s="246"/>
      <c r="F63" s="247"/>
      <c r="G63" s="249"/>
      <c r="H63" s="248"/>
      <c r="I63" s="246"/>
      <c r="J63" s="247"/>
      <c r="K63" s="246"/>
    </row>
    <row r="64" spans="1:11" ht="23.25">
      <c r="A64" s="77"/>
      <c r="B64" s="74"/>
      <c r="C64" s="74" t="s">
        <v>176</v>
      </c>
      <c r="E64" s="246">
        <v>-14009608.99</v>
      </c>
      <c r="F64" s="247"/>
      <c r="G64" s="181">
        <v>-34345238.05</v>
      </c>
      <c r="H64" s="248"/>
      <c r="I64" s="181">
        <v>0</v>
      </c>
      <c r="J64" s="248"/>
      <c r="K64" s="181">
        <v>0</v>
      </c>
    </row>
    <row r="65" spans="1:11" ht="23.25">
      <c r="A65" s="77"/>
      <c r="B65" s="74" t="s">
        <v>194</v>
      </c>
      <c r="C65" s="74"/>
      <c r="E65" s="246">
        <v>0</v>
      </c>
      <c r="F65" s="247"/>
      <c r="G65" s="181">
        <v>-2017118.77</v>
      </c>
      <c r="H65" s="248"/>
      <c r="I65" s="181">
        <v>0</v>
      </c>
      <c r="J65" s="248"/>
      <c r="K65" s="181">
        <v>0</v>
      </c>
    </row>
    <row r="66" spans="1:11" ht="4.5" customHeight="1">
      <c r="A66" s="77"/>
      <c r="B66" s="74"/>
      <c r="C66" s="74"/>
      <c r="E66" s="246"/>
      <c r="F66" s="247"/>
      <c r="G66" s="246"/>
      <c r="H66" s="248"/>
      <c r="I66" s="246"/>
      <c r="J66" s="248"/>
      <c r="K66" s="246"/>
    </row>
    <row r="67" spans="1:11" ht="23.25">
      <c r="A67" s="233" t="s">
        <v>196</v>
      </c>
      <c r="B67" s="232"/>
      <c r="C67" s="75"/>
      <c r="D67" s="75"/>
      <c r="E67" s="246"/>
      <c r="F67" s="250"/>
      <c r="G67" s="246"/>
      <c r="H67" s="251"/>
      <c r="I67" s="246"/>
      <c r="J67" s="252"/>
      <c r="K67" s="246"/>
    </row>
    <row r="68" spans="1:11" ht="23.25">
      <c r="A68" s="233"/>
      <c r="B68" s="74" t="s">
        <v>178</v>
      </c>
      <c r="C68" s="75"/>
      <c r="D68" s="75"/>
      <c r="E68" s="246"/>
      <c r="F68" s="250"/>
      <c r="G68" s="246"/>
      <c r="H68" s="251"/>
      <c r="I68" s="246"/>
      <c r="J68" s="252"/>
      <c r="K68" s="246"/>
    </row>
    <row r="69" spans="1:14" ht="23.25">
      <c r="A69" s="233"/>
      <c r="B69" s="232"/>
      <c r="C69" s="74" t="s">
        <v>223</v>
      </c>
      <c r="D69" s="75"/>
      <c r="E69" s="246">
        <v>0</v>
      </c>
      <c r="F69" s="250"/>
      <c r="G69" s="246">
        <v>12954624.8</v>
      </c>
      <c r="H69" s="251"/>
      <c r="I69" s="246">
        <v>0</v>
      </c>
      <c r="J69" s="252"/>
      <c r="K69" s="246">
        <v>12954624.8</v>
      </c>
      <c r="N69" s="263"/>
    </row>
    <row r="70" spans="2:11" ht="23.25">
      <c r="B70" s="74" t="s">
        <v>178</v>
      </c>
      <c r="C70" s="75"/>
      <c r="D70" s="75"/>
      <c r="E70" s="246"/>
      <c r="F70" s="247"/>
      <c r="G70" s="246"/>
      <c r="H70" s="248"/>
      <c r="I70" s="246"/>
      <c r="J70" s="248"/>
      <c r="K70" s="246"/>
    </row>
    <row r="71" spans="2:11" ht="23.25">
      <c r="B71" s="74"/>
      <c r="C71" s="213" t="s">
        <v>244</v>
      </c>
      <c r="D71" s="75"/>
      <c r="E71" s="286">
        <v>2356776.98</v>
      </c>
      <c r="F71" s="247"/>
      <c r="G71" s="181">
        <v>37872785.27</v>
      </c>
      <c r="H71" s="248"/>
      <c r="I71" s="286">
        <v>0</v>
      </c>
      <c r="J71" s="248"/>
      <c r="K71" s="181">
        <v>0</v>
      </c>
    </row>
    <row r="72" spans="1:11" ht="23.25">
      <c r="A72" s="74" t="s">
        <v>210</v>
      </c>
      <c r="B72" s="75"/>
      <c r="E72" s="253">
        <f>SUM(E62:E71)</f>
        <v>12793012.759999996</v>
      </c>
      <c r="F72" s="254"/>
      <c r="G72" s="253">
        <f>SUM(G62:G71)</f>
        <v>22026574.400000006</v>
      </c>
      <c r="H72" s="243"/>
      <c r="I72" s="253">
        <f>SUM(I62:I71)</f>
        <v>24445844.769999996</v>
      </c>
      <c r="J72" s="243"/>
      <c r="K72" s="253">
        <f>SUM(K62:K71)</f>
        <v>20516145.950000003</v>
      </c>
    </row>
    <row r="73" spans="1:11" ht="23.25">
      <c r="A73" s="74"/>
      <c r="B73" s="75"/>
      <c r="E73" s="248"/>
      <c r="F73" s="254"/>
      <c r="G73" s="248"/>
      <c r="H73" s="255"/>
      <c r="I73" s="248"/>
      <c r="J73" s="248"/>
      <c r="K73" s="248"/>
    </row>
    <row r="74" spans="1:11" ht="24" thickBot="1">
      <c r="A74" s="74" t="s">
        <v>211</v>
      </c>
      <c r="B74" s="75"/>
      <c r="E74" s="256">
        <f>E45+E72</f>
        <v>165188870.43999985</v>
      </c>
      <c r="F74" s="254"/>
      <c r="G74" s="256">
        <f>G45+G72</f>
        <v>447169641.21000004</v>
      </c>
      <c r="H74" s="243"/>
      <c r="I74" s="256">
        <f>I45+I72</f>
        <v>15000801.139999915</v>
      </c>
      <c r="J74" s="243"/>
      <c r="K74" s="256">
        <f>K45+K72</f>
        <v>124677341.59999996</v>
      </c>
    </row>
    <row r="75" spans="1:11" ht="22.5" customHeight="1" thickTop="1">
      <c r="A75" s="74"/>
      <c r="B75" s="75"/>
      <c r="E75" s="250"/>
      <c r="F75" s="254"/>
      <c r="G75" s="250"/>
      <c r="H75" s="257"/>
      <c r="I75" s="248"/>
      <c r="J75" s="250"/>
      <c r="K75" s="248"/>
    </row>
    <row r="76" spans="1:11" ht="22.5" customHeight="1">
      <c r="A76" s="74" t="s">
        <v>15</v>
      </c>
      <c r="B76" s="81"/>
      <c r="E76" s="258">
        <f>+E45/494034300</f>
        <v>0.308472220815437</v>
      </c>
      <c r="F76" s="254"/>
      <c r="G76" s="258">
        <f>+G45/494034300</f>
        <v>0.860553744567938</v>
      </c>
      <c r="H76" s="254"/>
      <c r="I76" s="258">
        <f>+I45/494034300</f>
        <v>-0.019118194080856493</v>
      </c>
      <c r="J76" s="254"/>
      <c r="K76" s="258">
        <f>+K45/494034300</f>
        <v>0.2108379836177366</v>
      </c>
    </row>
    <row r="77" spans="1:11" ht="22.5" customHeight="1">
      <c r="A77" s="74"/>
      <c r="B77" s="82"/>
      <c r="E77" s="80"/>
      <c r="G77" s="80"/>
      <c r="H77" s="82"/>
      <c r="I77" s="80"/>
      <c r="J77" s="79"/>
      <c r="K77" s="80"/>
    </row>
    <row r="78" spans="1:7" ht="22.5" customHeight="1">
      <c r="A78" s="74"/>
      <c r="B78" s="175"/>
      <c r="C78" s="80"/>
      <c r="D78" s="82"/>
      <c r="E78" s="78"/>
      <c r="F78" s="79"/>
      <c r="G78" s="80"/>
    </row>
    <row r="79" spans="1:7" ht="22.5" customHeight="1">
      <c r="A79" s="74"/>
      <c r="B79" s="175"/>
      <c r="C79" s="80"/>
      <c r="D79" s="82"/>
      <c r="E79" s="78"/>
      <c r="F79" s="79"/>
      <c r="G79" s="80"/>
    </row>
    <row r="80" spans="1:11" ht="22.5" customHeight="1">
      <c r="A80" s="74"/>
      <c r="B80" s="82"/>
      <c r="C80" s="80" t="s">
        <v>170</v>
      </c>
      <c r="D80" s="82"/>
      <c r="E80" s="78"/>
      <c r="F80" s="79"/>
      <c r="G80" s="78"/>
      <c r="I80" s="78"/>
      <c r="K80" s="78"/>
    </row>
    <row r="81" spans="1:7" ht="22.5" customHeight="1">
      <c r="A81" s="74"/>
      <c r="B81" s="82"/>
      <c r="C81" s="80"/>
      <c r="D81" s="82"/>
      <c r="E81" s="78"/>
      <c r="F81" s="79"/>
      <c r="G81" s="80"/>
    </row>
    <row r="82" spans="1:7" ht="22.5" customHeight="1">
      <c r="A82" s="74"/>
      <c r="B82" s="82"/>
      <c r="C82" s="80"/>
      <c r="D82" s="82"/>
      <c r="E82" s="78"/>
      <c r="F82" s="79"/>
      <c r="G82" s="80"/>
    </row>
    <row r="83" spans="1:4" ht="22.5" customHeight="1">
      <c r="A83" s="2" t="s">
        <v>5</v>
      </c>
      <c r="B83" s="2"/>
      <c r="C83" s="2"/>
      <c r="D83" s="39"/>
    </row>
    <row r="84" spans="1:3" ht="22.5" customHeight="1">
      <c r="A84" s="40"/>
      <c r="B84" s="40"/>
      <c r="C84" s="40"/>
    </row>
    <row r="85" spans="1:3" ht="22.5" customHeight="1">
      <c r="A85" s="40"/>
      <c r="B85" s="40"/>
      <c r="C85" s="40"/>
    </row>
    <row r="86" spans="1:3" ht="22.5" customHeight="1">
      <c r="A86" s="40"/>
      <c r="B86" s="40"/>
      <c r="C86" s="40"/>
    </row>
    <row r="87" spans="1:3" ht="22.5" customHeight="1">
      <c r="A87" s="40"/>
      <c r="B87" s="40"/>
      <c r="C87" s="40"/>
    </row>
    <row r="88" spans="1:3" ht="22.5" customHeight="1">
      <c r="A88" s="40"/>
      <c r="B88" s="40"/>
      <c r="C88" s="40"/>
    </row>
    <row r="89" spans="1:11" s="103" customFormat="1" ht="22.5" customHeight="1">
      <c r="A89" s="96" t="s">
        <v>215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1:11" s="103" customFormat="1" ht="23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</row>
  </sheetData>
  <sheetProtection/>
  <mergeCells count="2">
    <mergeCell ref="E6:G6"/>
    <mergeCell ref="E57:G57"/>
  </mergeCells>
  <printOptions horizontalCentered="1"/>
  <pageMargins left="0.5118110236220472" right="0.03937007874015748" top="0.56" bottom="0.47" header="0.29" footer="0.28"/>
  <pageSetup horizontalDpi="600" verticalDpi="600" orientation="portrait" paperSize="9" scale="74" r:id="rId1"/>
  <headerFooter alignWithMargins="0">
    <oddFooter>&amp;R&amp;"AngsanaUPC,ตัวปกติ"&amp;10
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SheetLayoutView="100" zoomScalePageLayoutView="0" workbookViewId="0" topLeftCell="A1">
      <selection activeCell="A5" sqref="A4:A5"/>
    </sheetView>
  </sheetViews>
  <sheetFormatPr defaultColWidth="9.140625" defaultRowHeight="22.5" customHeight="1"/>
  <cols>
    <col min="1" max="2" width="4.140625" style="36" customWidth="1"/>
    <col min="3" max="3" width="31.8515625" style="36" customWidth="1"/>
    <col min="4" max="4" width="10.8515625" style="36" customWidth="1"/>
    <col min="5" max="5" width="18.8515625" style="36" customWidth="1"/>
    <col min="6" max="6" width="1.57421875" style="36" customWidth="1"/>
    <col min="7" max="7" width="18.7109375" style="36" customWidth="1"/>
    <col min="8" max="8" width="1.421875" style="36" customWidth="1"/>
    <col min="9" max="9" width="18.00390625" style="36" bestFit="1" customWidth="1"/>
    <col min="10" max="10" width="1.7109375" style="36" customWidth="1"/>
    <col min="11" max="11" width="18.421875" style="36" customWidth="1"/>
    <col min="12" max="12" width="1.7109375" style="36" customWidth="1"/>
    <col min="13" max="13" width="9.140625" style="36" customWidth="1"/>
    <col min="14" max="14" width="12.7109375" style="36" bestFit="1" customWidth="1"/>
    <col min="15" max="16" width="12.00390625" style="36" bestFit="1" customWidth="1"/>
    <col min="17" max="16384" width="9.140625" style="36" customWidth="1"/>
  </cols>
  <sheetData>
    <row r="1" spans="1:11" s="103" customFormat="1" ht="22.5" customHeight="1">
      <c r="A1" s="102" t="s">
        <v>207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2.5" customHeight="1">
      <c r="A2" s="28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2.5" customHeight="1">
      <c r="A3" s="41" t="s">
        <v>245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8" customFormat="1" ht="22.5" customHeight="1">
      <c r="A4" s="41" t="s">
        <v>166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03" customFormat="1" ht="17.25" customHeight="1">
      <c r="A5" s="104"/>
      <c r="B5" s="104"/>
      <c r="C5" s="104"/>
      <c r="K5" s="105" t="s">
        <v>86</v>
      </c>
    </row>
    <row r="6" spans="1:11" s="103" customFormat="1" ht="22.5" customHeight="1">
      <c r="A6" s="104"/>
      <c r="B6" s="104"/>
      <c r="C6" s="104"/>
      <c r="E6" s="294" t="s">
        <v>51</v>
      </c>
      <c r="F6" s="294"/>
      <c r="G6" s="294"/>
      <c r="I6" s="106"/>
      <c r="J6" s="106" t="s">
        <v>50</v>
      </c>
      <c r="K6" s="107"/>
    </row>
    <row r="7" spans="1:11" s="103" customFormat="1" ht="23.25">
      <c r="A7" s="108"/>
      <c r="B7" s="108"/>
      <c r="C7" s="108"/>
      <c r="D7" s="109" t="s">
        <v>2</v>
      </c>
      <c r="E7" s="110" t="s">
        <v>214</v>
      </c>
      <c r="F7" s="111"/>
      <c r="G7" s="110" t="s">
        <v>193</v>
      </c>
      <c r="H7" s="109"/>
      <c r="I7" s="110" t="s">
        <v>214</v>
      </c>
      <c r="J7" s="111"/>
      <c r="K7" s="110" t="s">
        <v>193</v>
      </c>
    </row>
    <row r="8" spans="1:11" s="103" customFormat="1" ht="22.5" customHeight="1">
      <c r="A8" s="112" t="s">
        <v>12</v>
      </c>
      <c r="B8" s="112"/>
      <c r="C8" s="101"/>
      <c r="E8" s="178"/>
      <c r="F8" s="114"/>
      <c r="G8" s="178"/>
      <c r="H8" s="114"/>
      <c r="I8" s="179"/>
      <c r="J8" s="114"/>
      <c r="K8" s="178"/>
    </row>
    <row r="9" spans="1:11" s="103" customFormat="1" ht="22.5" customHeight="1">
      <c r="A9" s="101"/>
      <c r="B9" s="101" t="s">
        <v>92</v>
      </c>
      <c r="D9" s="113"/>
      <c r="E9" s="238">
        <f>2018924130.82+7248635.1</f>
        <v>2026172765.9199998</v>
      </c>
      <c r="F9" s="239"/>
      <c r="G9" s="238">
        <f>2021903561.73+12893463.37+6581246.61</f>
        <v>2041378271.7099998</v>
      </c>
      <c r="H9" s="239"/>
      <c r="I9" s="238">
        <f>2018924130.82+7248635.1</f>
        <v>2026172765.9199998</v>
      </c>
      <c r="J9" s="238"/>
      <c r="K9" s="238">
        <f>2021903561.73+12893463.37+6581246.61</f>
        <v>2041378271.7099998</v>
      </c>
    </row>
    <row r="10" spans="1:11" s="103" customFormat="1" ht="22.5" customHeight="1">
      <c r="A10" s="101"/>
      <c r="B10" s="101" t="s">
        <v>103</v>
      </c>
      <c r="D10" s="113"/>
      <c r="E10" s="238">
        <v>271795750</v>
      </c>
      <c r="F10" s="239"/>
      <c r="G10" s="238">
        <v>181877075.39</v>
      </c>
      <c r="H10" s="239"/>
      <c r="I10" s="238">
        <v>271795750</v>
      </c>
      <c r="J10" s="238"/>
      <c r="K10" s="238">
        <v>181877075.39</v>
      </c>
    </row>
    <row r="11" spans="1:11" s="103" customFormat="1" ht="22.5" customHeight="1">
      <c r="A11" s="101"/>
      <c r="B11" s="101" t="s">
        <v>104</v>
      </c>
      <c r="D11" s="113"/>
      <c r="E11" s="238">
        <v>397294275.14</v>
      </c>
      <c r="F11" s="239"/>
      <c r="G11" s="238">
        <v>388074856.52</v>
      </c>
      <c r="H11" s="239"/>
      <c r="I11" s="238">
        <v>397294275.14</v>
      </c>
      <c r="J11" s="238"/>
      <c r="K11" s="238">
        <v>388074856.52</v>
      </c>
    </row>
    <row r="12" spans="1:11" s="103" customFormat="1" ht="22.5" customHeight="1">
      <c r="A12" s="101"/>
      <c r="B12" s="101" t="s">
        <v>46</v>
      </c>
      <c r="D12" s="113"/>
      <c r="E12" s="238"/>
      <c r="F12" s="239"/>
      <c r="G12" s="238"/>
      <c r="H12" s="239"/>
      <c r="I12" s="238"/>
      <c r="J12" s="238"/>
      <c r="K12" s="238"/>
    </row>
    <row r="13" spans="1:11" s="103" customFormat="1" ht="22.5" customHeight="1">
      <c r="A13" s="115"/>
      <c r="B13" s="103" t="s">
        <v>47</v>
      </c>
      <c r="D13" s="113"/>
      <c r="E13" s="238">
        <f>1135486285.27+183342600.6</f>
        <v>1318828885.87</v>
      </c>
      <c r="F13" s="239"/>
      <c r="G13" s="238">
        <v>1264082801.66</v>
      </c>
      <c r="H13" s="239"/>
      <c r="I13" s="238">
        <v>0</v>
      </c>
      <c r="J13" s="238"/>
      <c r="K13" s="238">
        <v>0</v>
      </c>
    </row>
    <row r="14" spans="1:11" s="103" customFormat="1" ht="22.5" customHeight="1">
      <c r="A14" s="115"/>
      <c r="B14" s="101" t="s">
        <v>93</v>
      </c>
      <c r="D14" s="113"/>
      <c r="E14" s="238">
        <v>369243163.02000004</v>
      </c>
      <c r="F14" s="239"/>
      <c r="G14" s="238">
        <v>244029749.18</v>
      </c>
      <c r="H14" s="239"/>
      <c r="I14" s="238">
        <v>878558763.32</v>
      </c>
      <c r="J14" s="238"/>
      <c r="K14" s="238">
        <v>762093733.18</v>
      </c>
    </row>
    <row r="15" spans="1:11" s="103" customFormat="1" ht="22.5" customHeight="1">
      <c r="A15" s="115"/>
      <c r="B15" s="115" t="s">
        <v>40</v>
      </c>
      <c r="C15" s="101"/>
      <c r="D15" s="113"/>
      <c r="E15" s="238"/>
      <c r="F15" s="239"/>
      <c r="G15" s="238"/>
      <c r="H15" s="239"/>
      <c r="I15" s="238"/>
      <c r="J15" s="238"/>
      <c r="K15" s="238"/>
    </row>
    <row r="16" spans="1:11" s="103" customFormat="1" ht="22.5" customHeight="1">
      <c r="A16" s="115"/>
      <c r="B16" s="115"/>
      <c r="C16" s="101" t="s">
        <v>94</v>
      </c>
      <c r="D16" s="113"/>
      <c r="E16" s="238">
        <v>4202676.67</v>
      </c>
      <c r="F16" s="239"/>
      <c r="G16" s="238">
        <v>56305.41</v>
      </c>
      <c r="H16" s="239"/>
      <c r="I16" s="238">
        <v>4202676.67</v>
      </c>
      <c r="J16" s="238"/>
      <c r="K16" s="238">
        <v>56305.41</v>
      </c>
    </row>
    <row r="17" spans="1:11" s="103" customFormat="1" ht="22.5" customHeight="1">
      <c r="A17" s="115"/>
      <c r="B17" s="115"/>
      <c r="C17" s="101" t="s">
        <v>231</v>
      </c>
      <c r="D17" s="113"/>
      <c r="E17" s="238">
        <v>4413310.33</v>
      </c>
      <c r="F17" s="239"/>
      <c r="G17" s="238">
        <v>6421439.5</v>
      </c>
      <c r="H17" s="239"/>
      <c r="I17" s="238">
        <v>4413310.33</v>
      </c>
      <c r="J17" s="238"/>
      <c r="K17" s="238">
        <v>6421439.5</v>
      </c>
    </row>
    <row r="18" spans="1:11" s="103" customFormat="1" ht="22.5" customHeight="1">
      <c r="A18" s="115"/>
      <c r="B18" s="115"/>
      <c r="C18" s="101" t="s">
        <v>219</v>
      </c>
      <c r="D18" s="113"/>
      <c r="E18" s="238"/>
      <c r="F18" s="239"/>
      <c r="G18" s="238"/>
      <c r="H18" s="239"/>
      <c r="I18" s="238"/>
      <c r="J18" s="238"/>
      <c r="K18" s="238"/>
    </row>
    <row r="19" spans="1:11" s="103" customFormat="1" ht="22.5" customHeight="1">
      <c r="A19" s="115"/>
      <c r="B19" s="115"/>
      <c r="C19" s="101" t="s">
        <v>230</v>
      </c>
      <c r="D19" s="113"/>
      <c r="E19" s="238">
        <v>21000000</v>
      </c>
      <c r="F19" s="239"/>
      <c r="G19" s="238">
        <v>3242209.46</v>
      </c>
      <c r="H19" s="239"/>
      <c r="I19" s="238">
        <v>26250000</v>
      </c>
      <c r="J19" s="238"/>
      <c r="K19" s="238">
        <v>3242209.46</v>
      </c>
    </row>
    <row r="20" spans="1:11" s="103" customFormat="1" ht="22.5" customHeight="1">
      <c r="A20" s="115"/>
      <c r="B20" s="115"/>
      <c r="C20" s="101" t="s">
        <v>253</v>
      </c>
      <c r="D20" s="113"/>
      <c r="E20" s="238"/>
      <c r="F20" s="239"/>
      <c r="G20" s="238"/>
      <c r="H20" s="239"/>
      <c r="I20" s="238"/>
      <c r="J20" s="238"/>
      <c r="K20" s="238"/>
    </row>
    <row r="21" spans="1:11" s="103" customFormat="1" ht="22.5" customHeight="1">
      <c r="A21" s="115"/>
      <c r="B21" s="115"/>
      <c r="C21" s="101" t="s">
        <v>254</v>
      </c>
      <c r="D21" s="113"/>
      <c r="E21" s="238">
        <v>0</v>
      </c>
      <c r="F21" s="239"/>
      <c r="G21" s="238">
        <v>56728971.88</v>
      </c>
      <c r="H21" s="239"/>
      <c r="I21" s="238">
        <v>0</v>
      </c>
      <c r="J21" s="238"/>
      <c r="K21" s="238">
        <v>56728971.88</v>
      </c>
    </row>
    <row r="22" spans="1:11" s="103" customFormat="1" ht="22.5" customHeight="1">
      <c r="A22" s="115"/>
      <c r="B22" s="115"/>
      <c r="C22" s="101" t="s">
        <v>219</v>
      </c>
      <c r="D22" s="113"/>
      <c r="E22" s="238"/>
      <c r="F22" s="239"/>
      <c r="G22" s="238"/>
      <c r="H22" s="239"/>
      <c r="I22" s="238"/>
      <c r="J22" s="238"/>
      <c r="K22" s="238"/>
    </row>
    <row r="23" spans="1:11" s="103" customFormat="1" ht="22.5" customHeight="1">
      <c r="A23" s="115"/>
      <c r="B23" s="115"/>
      <c r="C23" s="101" t="s">
        <v>242</v>
      </c>
      <c r="D23" s="113"/>
      <c r="E23" s="238">
        <v>0</v>
      </c>
      <c r="F23" s="239"/>
      <c r="G23" s="238">
        <v>8349863</v>
      </c>
      <c r="H23" s="239"/>
      <c r="I23" s="238">
        <v>0</v>
      </c>
      <c r="J23" s="238"/>
      <c r="K23" s="238">
        <v>8349863</v>
      </c>
    </row>
    <row r="24" spans="1:11" s="103" customFormat="1" ht="22.5" customHeight="1">
      <c r="A24" s="115"/>
      <c r="B24" s="115"/>
      <c r="C24" s="101" t="s">
        <v>95</v>
      </c>
      <c r="D24" s="113"/>
      <c r="E24" s="238">
        <v>390102.83999999997</v>
      </c>
      <c r="F24" s="239"/>
      <c r="G24" s="238">
        <v>275130.65</v>
      </c>
      <c r="H24" s="239"/>
      <c r="I24" s="238">
        <v>390102.83999999997</v>
      </c>
      <c r="J24" s="238"/>
      <c r="K24" s="238">
        <v>275130.65</v>
      </c>
    </row>
    <row r="25" spans="1:11" s="103" customFormat="1" ht="22.5" customHeight="1">
      <c r="A25" s="115"/>
      <c r="B25" s="115"/>
      <c r="C25" s="121" t="s">
        <v>96</v>
      </c>
      <c r="D25" s="113"/>
      <c r="E25" s="238">
        <v>1036798.65</v>
      </c>
      <c r="F25" s="239"/>
      <c r="G25" s="238">
        <v>3727835.59</v>
      </c>
      <c r="H25" s="239"/>
      <c r="I25" s="238">
        <v>1036798.65</v>
      </c>
      <c r="J25" s="238"/>
      <c r="K25" s="238">
        <v>3727835.59</v>
      </c>
    </row>
    <row r="26" spans="1:11" s="103" customFormat="1" ht="22.5" customHeight="1">
      <c r="A26" s="115"/>
      <c r="B26" s="115"/>
      <c r="C26" s="121" t="s">
        <v>267</v>
      </c>
      <c r="D26" s="113"/>
      <c r="E26" s="238">
        <f>1489331.9-234081.89</f>
        <v>1255250.0099999998</v>
      </c>
      <c r="F26" s="239"/>
      <c r="G26" s="238">
        <v>0</v>
      </c>
      <c r="H26" s="239"/>
      <c r="I26" s="238">
        <f>1489331.9-234081.89</f>
        <v>1255250.0099999998</v>
      </c>
      <c r="J26" s="238"/>
      <c r="K26" s="238">
        <v>0</v>
      </c>
    </row>
    <row r="27" spans="1:11" s="103" customFormat="1" ht="22.5" customHeight="1">
      <c r="A27" s="115"/>
      <c r="B27" s="115"/>
      <c r="C27" s="101" t="s">
        <v>97</v>
      </c>
      <c r="D27" s="113"/>
      <c r="E27" s="238">
        <f>21945787-7248635.1</f>
        <v>14697151.9</v>
      </c>
      <c r="F27" s="239"/>
      <c r="G27" s="238">
        <f>31965033.96-12893463.37-6581246.61</f>
        <v>12490323.980000004</v>
      </c>
      <c r="H27" s="239"/>
      <c r="I27" s="238">
        <f>21945787-7248635.1</f>
        <v>14697151.9</v>
      </c>
      <c r="J27" s="238"/>
      <c r="K27" s="238">
        <f>31965033.96-12893463.37-6581246.61</f>
        <v>12490323.980000004</v>
      </c>
    </row>
    <row r="28" spans="1:11" s="103" customFormat="1" ht="22.5" customHeight="1">
      <c r="A28" s="115"/>
      <c r="B28" s="112" t="s">
        <v>105</v>
      </c>
      <c r="D28" s="113"/>
      <c r="E28" s="241">
        <f>SUM(E9:E27)</f>
        <v>4430330130.349999</v>
      </c>
      <c r="F28" s="242"/>
      <c r="G28" s="241">
        <f>SUM(G9:G27)</f>
        <v>4210734833.93</v>
      </c>
      <c r="H28" s="242"/>
      <c r="I28" s="241">
        <f>SUM(I9:I27)</f>
        <v>3626066844.7800007</v>
      </c>
      <c r="J28" s="242"/>
      <c r="K28" s="241">
        <f>SUM(K9:K27)</f>
        <v>3464716016.27</v>
      </c>
    </row>
    <row r="29" spans="1:11" s="103" customFormat="1" ht="22.5" customHeight="1">
      <c r="A29" s="112" t="s">
        <v>14</v>
      </c>
      <c r="B29" s="112"/>
      <c r="C29" s="101"/>
      <c r="D29" s="116"/>
      <c r="E29" s="242"/>
      <c r="F29" s="242"/>
      <c r="G29" s="242"/>
      <c r="H29" s="242"/>
      <c r="I29" s="242"/>
      <c r="J29" s="242"/>
      <c r="K29" s="242"/>
    </row>
    <row r="30" spans="1:11" s="103" customFormat="1" ht="22.5" customHeight="1">
      <c r="A30" s="101"/>
      <c r="B30" s="101" t="s">
        <v>100</v>
      </c>
      <c r="C30" s="101"/>
      <c r="D30" s="117"/>
      <c r="E30" s="238">
        <v>1844538975.89</v>
      </c>
      <c r="F30" s="238"/>
      <c r="G30" s="238">
        <v>1863202712.16</v>
      </c>
      <c r="H30" s="238"/>
      <c r="I30" s="238">
        <v>1844538975.89</v>
      </c>
      <c r="J30" s="238"/>
      <c r="K30" s="238">
        <v>1863202712.16</v>
      </c>
    </row>
    <row r="31" spans="1:11" s="103" customFormat="1" ht="22.5" customHeight="1">
      <c r="A31" s="101"/>
      <c r="B31" s="101" t="s">
        <v>41</v>
      </c>
      <c r="C31" s="101"/>
      <c r="D31" s="117"/>
      <c r="E31" s="238">
        <v>63360955.67</v>
      </c>
      <c r="F31" s="238"/>
      <c r="G31" s="238">
        <v>20671424.46</v>
      </c>
      <c r="H31" s="238"/>
      <c r="I31" s="238">
        <v>63360955.67</v>
      </c>
      <c r="J31" s="238"/>
      <c r="K31" s="238">
        <v>20671424.46</v>
      </c>
    </row>
    <row r="32" spans="1:11" s="103" customFormat="1" ht="22.5" customHeight="1">
      <c r="A32" s="101"/>
      <c r="B32" s="101" t="s">
        <v>152</v>
      </c>
      <c r="C32" s="101"/>
      <c r="D32" s="117"/>
      <c r="E32" s="238">
        <f>328686861.02+3000</f>
        <v>328689861.02</v>
      </c>
      <c r="F32" s="238"/>
      <c r="G32" s="238">
        <v>305745579.85</v>
      </c>
      <c r="H32" s="238"/>
      <c r="I32" s="238">
        <f>328686861.02+3000</f>
        <v>328689861.02</v>
      </c>
      <c r="J32" s="238"/>
      <c r="K32" s="238">
        <v>305745579.85</v>
      </c>
    </row>
    <row r="33" spans="1:11" s="103" customFormat="1" ht="22.5" customHeight="1">
      <c r="A33" s="101"/>
      <c r="B33" s="101" t="s">
        <v>106</v>
      </c>
      <c r="C33" s="101"/>
      <c r="D33" s="119"/>
      <c r="E33" s="238"/>
      <c r="F33" s="238"/>
      <c r="G33" s="238"/>
      <c r="H33" s="238"/>
      <c r="I33" s="238"/>
      <c r="J33" s="238"/>
      <c r="K33" s="238"/>
    </row>
    <row r="34" spans="1:11" s="103" customFormat="1" ht="22.5" customHeight="1">
      <c r="A34" s="101"/>
      <c r="B34" s="103" t="s">
        <v>107</v>
      </c>
      <c r="D34" s="119"/>
      <c r="E34" s="238">
        <f>29785585.06+12644793.2+8856906.09</f>
        <v>51287284.349999994</v>
      </c>
      <c r="F34" s="238"/>
      <c r="G34" s="238">
        <v>77536386.98</v>
      </c>
      <c r="H34" s="238"/>
      <c r="I34" s="238">
        <v>0</v>
      </c>
      <c r="J34" s="238"/>
      <c r="K34" s="238">
        <v>0</v>
      </c>
    </row>
    <row r="35" spans="1:11" s="103" customFormat="1" ht="22.5" customHeight="1">
      <c r="A35" s="101"/>
      <c r="B35" s="101" t="s">
        <v>101</v>
      </c>
      <c r="C35" s="101"/>
      <c r="D35" s="117"/>
      <c r="E35" s="238">
        <f>491097111.48-234081.89</f>
        <v>490863029.59000003</v>
      </c>
      <c r="F35" s="238"/>
      <c r="G35" s="238">
        <v>493136098.92999995</v>
      </c>
      <c r="H35" s="238"/>
      <c r="I35" s="238">
        <f>491097111.48-234081.89</f>
        <v>490863029.59000003</v>
      </c>
      <c r="J35" s="238"/>
      <c r="K35" s="238">
        <v>493136098.92999995</v>
      </c>
    </row>
    <row r="36" spans="1:11" s="103" customFormat="1" ht="22.5" customHeight="1">
      <c r="A36" s="101"/>
      <c r="B36" s="101" t="s">
        <v>98</v>
      </c>
      <c r="C36" s="101"/>
      <c r="D36" s="113"/>
      <c r="E36" s="238"/>
      <c r="F36" s="238"/>
      <c r="G36" s="238"/>
      <c r="H36" s="238"/>
      <c r="I36" s="238"/>
      <c r="J36" s="238"/>
      <c r="K36" s="238"/>
    </row>
    <row r="37" spans="1:11" s="103" customFormat="1" ht="22.5" customHeight="1">
      <c r="A37" s="101"/>
      <c r="B37" s="101"/>
      <c r="C37" s="101" t="s">
        <v>91</v>
      </c>
      <c r="D37" s="113"/>
      <c r="E37" s="238">
        <v>64298.729999999996</v>
      </c>
      <c r="F37" s="238"/>
      <c r="G37" s="238">
        <v>526170.7</v>
      </c>
      <c r="H37" s="238"/>
      <c r="I37" s="238">
        <v>64298.729999999996</v>
      </c>
      <c r="J37" s="238"/>
      <c r="K37" s="238">
        <v>526170.7</v>
      </c>
    </row>
    <row r="38" spans="1:11" s="103" customFormat="1" ht="22.5" customHeight="1">
      <c r="A38" s="115"/>
      <c r="B38" s="115"/>
      <c r="C38" s="101" t="s">
        <v>233</v>
      </c>
      <c r="D38" s="113"/>
      <c r="E38" s="238">
        <v>9334583.45</v>
      </c>
      <c r="F38" s="239"/>
      <c r="G38" s="238">
        <v>0</v>
      </c>
      <c r="H38" s="239"/>
      <c r="I38" s="238">
        <v>9334583.45</v>
      </c>
      <c r="J38" s="238"/>
      <c r="K38" s="238">
        <v>0</v>
      </c>
    </row>
    <row r="39" spans="1:11" s="103" customFormat="1" ht="22.5" customHeight="1">
      <c r="A39" s="101"/>
      <c r="B39" s="101"/>
      <c r="C39" s="101" t="s">
        <v>232</v>
      </c>
      <c r="D39" s="118"/>
      <c r="E39" s="238">
        <v>38622851.42</v>
      </c>
      <c r="F39" s="238"/>
      <c r="G39" s="238">
        <v>85821207.75</v>
      </c>
      <c r="H39" s="238"/>
      <c r="I39" s="238">
        <v>38622851.42</v>
      </c>
      <c r="J39" s="238"/>
      <c r="K39" s="238">
        <v>117823022</v>
      </c>
    </row>
    <row r="40" spans="1:11" s="103" customFormat="1" ht="22.5" customHeight="1">
      <c r="A40" s="101"/>
      <c r="B40" s="101"/>
      <c r="C40" s="101" t="s">
        <v>255</v>
      </c>
      <c r="D40" s="118"/>
      <c r="E40" s="238"/>
      <c r="F40" s="238"/>
      <c r="G40" s="238"/>
      <c r="H40" s="238"/>
      <c r="I40" s="238"/>
      <c r="J40" s="238"/>
      <c r="K40" s="238"/>
    </row>
    <row r="41" spans="1:11" s="103" customFormat="1" ht="22.5" customHeight="1">
      <c r="A41" s="101"/>
      <c r="B41" s="101"/>
      <c r="C41" s="101" t="s">
        <v>256</v>
      </c>
      <c r="D41" s="118"/>
      <c r="E41" s="238">
        <v>0</v>
      </c>
      <c r="F41" s="238"/>
      <c r="G41" s="238">
        <v>8939741.82</v>
      </c>
      <c r="H41" s="238"/>
      <c r="I41" s="238">
        <v>0</v>
      </c>
      <c r="J41" s="238"/>
      <c r="K41" s="238">
        <v>8939741.82</v>
      </c>
    </row>
    <row r="42" spans="1:11" s="103" customFormat="1" ht="22.5" customHeight="1">
      <c r="A42" s="101"/>
      <c r="B42" s="101"/>
      <c r="C42" s="101" t="s">
        <v>263</v>
      </c>
      <c r="D42" s="118"/>
      <c r="E42" s="238">
        <v>1819141.02</v>
      </c>
      <c r="F42" s="238"/>
      <c r="G42" s="238">
        <v>0</v>
      </c>
      <c r="H42" s="238"/>
      <c r="I42" s="238">
        <v>0</v>
      </c>
      <c r="J42" s="238"/>
      <c r="K42" s="238">
        <v>0</v>
      </c>
    </row>
    <row r="43" spans="1:11" s="103" customFormat="1" ht="22.5" customHeight="1">
      <c r="A43" s="101"/>
      <c r="B43" s="101" t="s">
        <v>99</v>
      </c>
      <c r="D43" s="113"/>
      <c r="E43" s="238">
        <v>43771256.919999994</v>
      </c>
      <c r="F43" s="238"/>
      <c r="G43" s="238">
        <v>46689211.75</v>
      </c>
      <c r="H43" s="238"/>
      <c r="I43" s="238">
        <v>43771256.919999994</v>
      </c>
      <c r="J43" s="238"/>
      <c r="K43" s="238">
        <v>46689211.75</v>
      </c>
    </row>
    <row r="44" spans="1:11" s="103" customFormat="1" ht="22.5" customHeight="1">
      <c r="A44" s="115"/>
      <c r="B44" s="115"/>
      <c r="C44" s="112" t="s">
        <v>108</v>
      </c>
      <c r="D44" s="113"/>
      <c r="E44" s="244">
        <f>SUM(E30:E43)</f>
        <v>2872352238.06</v>
      </c>
      <c r="F44" s="242"/>
      <c r="G44" s="244">
        <f>SUM(G30:G43)</f>
        <v>2902268534.4</v>
      </c>
      <c r="H44" s="242"/>
      <c r="I44" s="244">
        <f>SUM(I30:I43)</f>
        <v>2819245812.69</v>
      </c>
      <c r="J44" s="242"/>
      <c r="K44" s="244">
        <f>SUM(K30:K43)</f>
        <v>2856733961.67</v>
      </c>
    </row>
    <row r="45" spans="1:11" s="103" customFormat="1" ht="22.5" customHeight="1">
      <c r="A45" s="120" t="s">
        <v>224</v>
      </c>
      <c r="B45" s="115"/>
      <c r="C45" s="112"/>
      <c r="D45" s="113"/>
      <c r="E45" s="240">
        <f>E28-E44</f>
        <v>1557977892.2899995</v>
      </c>
      <c r="F45" s="239"/>
      <c r="G45" s="240">
        <f>G28-G44</f>
        <v>1308466299.5299997</v>
      </c>
      <c r="H45" s="239"/>
      <c r="I45" s="240">
        <f>I28-I44</f>
        <v>806821032.0900006</v>
      </c>
      <c r="J45" s="239"/>
      <c r="K45" s="240">
        <f>K28-K44</f>
        <v>607982054.5999999</v>
      </c>
    </row>
    <row r="46" spans="1:11" s="103" customFormat="1" ht="22.5" customHeight="1">
      <c r="A46" s="115"/>
      <c r="B46" s="115" t="s">
        <v>173</v>
      </c>
      <c r="C46" s="112"/>
      <c r="D46" s="119">
        <v>21</v>
      </c>
      <c r="E46" s="245">
        <v>-11282863.87</v>
      </c>
      <c r="F46" s="245"/>
      <c r="G46" s="245">
        <v>8621084.43</v>
      </c>
      <c r="H46" s="239"/>
      <c r="I46" s="245">
        <v>-12332863.87</v>
      </c>
      <c r="J46" s="239"/>
      <c r="K46" s="245">
        <v>15021447.28</v>
      </c>
    </row>
    <row r="47" spans="1:11" s="103" customFormat="1" ht="23.25">
      <c r="A47" s="120" t="s">
        <v>264</v>
      </c>
      <c r="B47" s="115"/>
      <c r="C47" s="112"/>
      <c r="D47" s="113"/>
      <c r="E47" s="244">
        <f>SUM(E45:E46)</f>
        <v>1546695028.4199996</v>
      </c>
      <c r="F47" s="242"/>
      <c r="G47" s="244">
        <f>SUM(G45:G46)</f>
        <v>1317087383.9599998</v>
      </c>
      <c r="H47" s="242"/>
      <c r="I47" s="244">
        <f>SUM(I45:I46)</f>
        <v>794488168.2200006</v>
      </c>
      <c r="J47" s="242"/>
      <c r="K47" s="244">
        <f>SUM(K45:K46)</f>
        <v>623003501.8799999</v>
      </c>
    </row>
    <row r="48" spans="1:4" s="103" customFormat="1" ht="23.25">
      <c r="A48" s="101" t="s">
        <v>5</v>
      </c>
      <c r="B48" s="101"/>
      <c r="C48" s="101"/>
      <c r="D48" s="114"/>
    </row>
    <row r="49" spans="1:4" s="103" customFormat="1" ht="6" customHeight="1">
      <c r="A49" s="101"/>
      <c r="B49" s="101"/>
      <c r="C49" s="101"/>
      <c r="D49" s="114"/>
    </row>
    <row r="50" spans="1:11" s="103" customFormat="1" ht="22.5" customHeight="1">
      <c r="A50" s="96" t="s">
        <v>215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s="103" customFormat="1" ht="23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 ht="22.5" customHeight="1">
      <c r="A52" s="97" t="s">
        <v>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22.5" customHeight="1">
      <c r="A53" s="97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22.5" customHeight="1">
      <c r="A54" s="102" t="s">
        <v>207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22.5" customHeight="1">
      <c r="A55" s="41" t="s">
        <v>139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s="8" customFormat="1" ht="22.5" customHeight="1">
      <c r="A56" s="41" t="s">
        <v>246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s="8" customFormat="1" ht="22.5" customHeight="1">
      <c r="A57" s="41" t="s">
        <v>166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22.5" customHeight="1">
      <c r="A58" s="34"/>
      <c r="B58" s="34"/>
      <c r="C58" s="34"/>
      <c r="K58" s="37" t="s">
        <v>86</v>
      </c>
    </row>
    <row r="59" spans="1:11" ht="22.5" customHeight="1">
      <c r="A59" s="34"/>
      <c r="B59" s="34"/>
      <c r="C59" s="34"/>
      <c r="E59" s="295" t="s">
        <v>51</v>
      </c>
      <c r="F59" s="295"/>
      <c r="G59" s="295"/>
      <c r="I59" s="35"/>
      <c r="J59" s="35" t="s">
        <v>50</v>
      </c>
      <c r="K59" s="38"/>
    </row>
    <row r="60" spans="1:11" ht="22.5" customHeight="1">
      <c r="A60" s="1"/>
      <c r="B60" s="1"/>
      <c r="C60" s="1"/>
      <c r="D60" s="33"/>
      <c r="E60" s="110" t="s">
        <v>214</v>
      </c>
      <c r="F60" s="111"/>
      <c r="G60" s="110" t="s">
        <v>193</v>
      </c>
      <c r="H60" s="109"/>
      <c r="I60" s="110" t="s">
        <v>214</v>
      </c>
      <c r="J60" s="111"/>
      <c r="K60" s="110" t="s">
        <v>193</v>
      </c>
    </row>
    <row r="61" spans="1:11" ht="23.25">
      <c r="A61" s="74" t="s">
        <v>198</v>
      </c>
      <c r="B61" s="75"/>
      <c r="C61" s="75"/>
      <c r="D61" s="75"/>
      <c r="E61" s="234"/>
      <c r="F61" s="76"/>
      <c r="G61" s="94"/>
      <c r="H61" s="14"/>
      <c r="I61" s="12"/>
      <c r="J61" s="13"/>
      <c r="K61" s="94"/>
    </row>
    <row r="62" spans="1:11" ht="23.25">
      <c r="A62" s="233" t="s">
        <v>197</v>
      </c>
      <c r="B62" s="232"/>
      <c r="C62" s="213"/>
      <c r="D62" s="75"/>
      <c r="E62" s="181"/>
      <c r="F62" s="39"/>
      <c r="G62" s="181"/>
      <c r="H62" s="183"/>
      <c r="I62" s="181"/>
      <c r="J62" s="183"/>
      <c r="K62" s="216"/>
    </row>
    <row r="63" spans="1:11" ht="23.25">
      <c r="A63" s="77"/>
      <c r="B63" s="74" t="s">
        <v>167</v>
      </c>
      <c r="C63" s="139"/>
      <c r="E63" s="181"/>
      <c r="F63" s="180"/>
      <c r="G63" s="215"/>
      <c r="H63" s="182"/>
      <c r="I63" s="181"/>
      <c r="J63" s="180"/>
      <c r="K63" s="215"/>
    </row>
    <row r="64" spans="1:11" ht="23.25">
      <c r="A64" s="77"/>
      <c r="B64" s="138"/>
      <c r="C64" s="140" t="s">
        <v>177</v>
      </c>
      <c r="E64" s="246">
        <f>299994334.62-59998866.92</f>
        <v>239995467.7</v>
      </c>
      <c r="F64" s="247"/>
      <c r="G64" s="181">
        <v>-143160031.2</v>
      </c>
      <c r="H64" s="248"/>
      <c r="I64" s="246">
        <f>299994334.62-59998866.92</f>
        <v>239995467.7</v>
      </c>
      <c r="J64" s="248"/>
      <c r="K64" s="181">
        <v>-143160031.2</v>
      </c>
    </row>
    <row r="65" spans="1:11" ht="23.25">
      <c r="A65" s="77"/>
      <c r="B65" s="74" t="s">
        <v>167</v>
      </c>
      <c r="C65" s="74"/>
      <c r="E65" s="246"/>
      <c r="F65" s="247"/>
      <c r="G65" s="216"/>
      <c r="H65" s="248"/>
      <c r="I65" s="246"/>
      <c r="J65" s="247"/>
      <c r="K65" s="216"/>
    </row>
    <row r="66" spans="1:11" ht="23.25">
      <c r="A66" s="77"/>
      <c r="B66" s="74"/>
      <c r="C66" s="74" t="s">
        <v>176</v>
      </c>
      <c r="E66" s="246">
        <f>280240857.96-14009608.99</f>
        <v>266231248.96999997</v>
      </c>
      <c r="F66" s="247"/>
      <c r="G66" s="181">
        <v>-96486867.61</v>
      </c>
      <c r="H66" s="248"/>
      <c r="I66" s="181">
        <v>0</v>
      </c>
      <c r="J66" s="248"/>
      <c r="K66" s="181">
        <v>0</v>
      </c>
    </row>
    <row r="67" spans="1:11" ht="23.25">
      <c r="A67" s="77"/>
      <c r="B67" s="74" t="s">
        <v>194</v>
      </c>
      <c r="C67" s="74"/>
      <c r="E67" s="246">
        <v>-3575876.75</v>
      </c>
      <c r="F67" s="247"/>
      <c r="G67" s="181">
        <v>3228199.92</v>
      </c>
      <c r="H67" s="248"/>
      <c r="I67" s="181">
        <v>0</v>
      </c>
      <c r="J67" s="248"/>
      <c r="K67" s="181">
        <v>0</v>
      </c>
    </row>
    <row r="68" spans="1:11" ht="4.5" customHeight="1">
      <c r="A68" s="77"/>
      <c r="B68" s="74"/>
      <c r="C68" s="74"/>
      <c r="E68" s="246"/>
      <c r="F68" s="247"/>
      <c r="G68" s="246"/>
      <c r="H68" s="248"/>
      <c r="I68" s="246"/>
      <c r="J68" s="248"/>
      <c r="K68" s="246"/>
    </row>
    <row r="69" spans="1:11" ht="23.25">
      <c r="A69" s="233" t="s">
        <v>196</v>
      </c>
      <c r="B69" s="232"/>
      <c r="C69" s="75"/>
      <c r="D69" s="75"/>
      <c r="E69" s="246"/>
      <c r="F69" s="250"/>
      <c r="G69" s="246"/>
      <c r="H69" s="251"/>
      <c r="I69" s="246"/>
      <c r="J69" s="252"/>
      <c r="K69" s="246"/>
    </row>
    <row r="70" spans="1:11" ht="23.25">
      <c r="A70" s="233"/>
      <c r="B70" s="74" t="s">
        <v>178</v>
      </c>
      <c r="C70" s="75"/>
      <c r="D70" s="75"/>
      <c r="E70" s="246"/>
      <c r="F70" s="250"/>
      <c r="G70" s="246"/>
      <c r="H70" s="251"/>
      <c r="I70" s="246"/>
      <c r="J70" s="252"/>
      <c r="K70" s="246"/>
    </row>
    <row r="71" spans="1:14" ht="23.25">
      <c r="A71" s="233"/>
      <c r="B71" s="232"/>
      <c r="C71" s="74" t="s">
        <v>223</v>
      </c>
      <c r="D71" s="75"/>
      <c r="E71" s="246">
        <f>-4722376+944475.2</f>
        <v>-3777900.8</v>
      </c>
      <c r="F71" s="250"/>
      <c r="G71" s="246">
        <v>12954624.8</v>
      </c>
      <c r="H71" s="251"/>
      <c r="I71" s="246">
        <f>-4722376+944475.2</f>
        <v>-3777900.8</v>
      </c>
      <c r="J71" s="252"/>
      <c r="K71" s="246">
        <v>12954624.8</v>
      </c>
      <c r="N71" s="263"/>
    </row>
    <row r="72" spans="2:11" ht="23.25">
      <c r="B72" s="74" t="s">
        <v>178</v>
      </c>
      <c r="C72" s="75"/>
      <c r="D72" s="75"/>
      <c r="E72" s="246"/>
      <c r="F72" s="247"/>
      <c r="G72" s="246"/>
      <c r="H72" s="248"/>
      <c r="I72" s="246"/>
      <c r="J72" s="248"/>
      <c r="K72" s="246"/>
    </row>
    <row r="73" spans="2:11" ht="23.25">
      <c r="B73" s="74"/>
      <c r="C73" s="213" t="s">
        <v>222</v>
      </c>
      <c r="D73" s="75"/>
      <c r="E73" s="286">
        <f>-12020419.92+2356776.98</f>
        <v>-9663642.94</v>
      </c>
      <c r="F73" s="247"/>
      <c r="G73" s="181">
        <v>37716076.64</v>
      </c>
      <c r="H73" s="248"/>
      <c r="I73" s="181">
        <v>0</v>
      </c>
      <c r="J73" s="248"/>
      <c r="K73" s="181">
        <v>0</v>
      </c>
    </row>
    <row r="74" spans="1:11" ht="23.25">
      <c r="A74" s="74" t="s">
        <v>265</v>
      </c>
      <c r="B74" s="75"/>
      <c r="E74" s="253">
        <f>SUM(E64:E73)</f>
        <v>489209296.17999995</v>
      </c>
      <c r="F74" s="254"/>
      <c r="G74" s="253">
        <f>SUM(G64:G73)</f>
        <v>-185747997.45</v>
      </c>
      <c r="H74" s="243"/>
      <c r="I74" s="253">
        <f>SUM(I64:I73)</f>
        <v>236217566.89999998</v>
      </c>
      <c r="J74" s="243"/>
      <c r="K74" s="253">
        <f>SUM(K64:K73)</f>
        <v>-130205406.39999999</v>
      </c>
    </row>
    <row r="75" spans="1:11" ht="23.25">
      <c r="A75" s="74"/>
      <c r="B75" s="75"/>
      <c r="E75" s="248"/>
      <c r="F75" s="254"/>
      <c r="G75" s="248"/>
      <c r="H75" s="255"/>
      <c r="I75" s="248"/>
      <c r="J75" s="248"/>
      <c r="K75" s="248"/>
    </row>
    <row r="76" spans="1:11" ht="24" thickBot="1">
      <c r="A76" s="74" t="s">
        <v>266</v>
      </c>
      <c r="B76" s="75"/>
      <c r="E76" s="256">
        <f>E47+E74</f>
        <v>2035904324.5999994</v>
      </c>
      <c r="F76" s="254"/>
      <c r="G76" s="256">
        <f>G47+G74</f>
        <v>1131339386.5099998</v>
      </c>
      <c r="H76" s="243"/>
      <c r="I76" s="256">
        <f>I47+I74</f>
        <v>1030705735.1200006</v>
      </c>
      <c r="J76" s="243"/>
      <c r="K76" s="256">
        <f>K47+K74</f>
        <v>492798095.4799999</v>
      </c>
    </row>
    <row r="77" spans="1:11" ht="22.5" customHeight="1" thickTop="1">
      <c r="A77" s="74"/>
      <c r="B77" s="75"/>
      <c r="E77" s="250"/>
      <c r="F77" s="254"/>
      <c r="G77" s="250"/>
      <c r="H77" s="257"/>
      <c r="I77" s="248"/>
      <c r="J77" s="250"/>
      <c r="K77" s="248"/>
    </row>
    <row r="78" spans="1:11" ht="22.5" customHeight="1">
      <c r="A78" s="74" t="s">
        <v>15</v>
      </c>
      <c r="B78" s="81"/>
      <c r="E78" s="258">
        <f>+E47/494034300</f>
        <v>3.1307442184075067</v>
      </c>
      <c r="F78" s="254"/>
      <c r="G78" s="258">
        <f>+G47/494034300</f>
        <v>2.665983685667169</v>
      </c>
      <c r="H78" s="254"/>
      <c r="I78" s="258">
        <f>+I47/494034300</f>
        <v>1.6081639842010982</v>
      </c>
      <c r="J78" s="254"/>
      <c r="K78" s="258">
        <f>+K47/494034300</f>
        <v>1.2610531331124173</v>
      </c>
    </row>
    <row r="79" spans="1:11" ht="22.5" customHeight="1">
      <c r="A79" s="74"/>
      <c r="B79" s="82"/>
      <c r="E79" s="80"/>
      <c r="G79" s="80"/>
      <c r="H79" s="82"/>
      <c r="I79" s="78"/>
      <c r="J79" s="79"/>
      <c r="K79" s="80"/>
    </row>
    <row r="80" spans="1:7" ht="22.5" customHeight="1">
      <c r="A80" s="74"/>
      <c r="B80" s="175"/>
      <c r="C80" s="80"/>
      <c r="D80" s="82"/>
      <c r="E80" s="78"/>
      <c r="F80" s="79"/>
      <c r="G80" s="80"/>
    </row>
    <row r="81" spans="1:9" ht="22.5" customHeight="1">
      <c r="A81" s="74"/>
      <c r="B81" s="175"/>
      <c r="C81" s="80"/>
      <c r="D81" s="82"/>
      <c r="E81" s="78"/>
      <c r="F81" s="79"/>
      <c r="G81" s="80"/>
      <c r="I81" s="78"/>
    </row>
    <row r="82" spans="1:11" ht="22.5" customHeight="1">
      <c r="A82" s="74"/>
      <c r="B82" s="82"/>
      <c r="C82" s="80" t="s">
        <v>170</v>
      </c>
      <c r="D82" s="82"/>
      <c r="E82" s="78"/>
      <c r="F82" s="79"/>
      <c r="G82" s="78"/>
      <c r="I82" s="78"/>
      <c r="K82" s="78"/>
    </row>
    <row r="83" spans="1:7" ht="22.5" customHeight="1">
      <c r="A83" s="74"/>
      <c r="B83" s="82"/>
      <c r="C83" s="80"/>
      <c r="D83" s="82"/>
      <c r="E83" s="78"/>
      <c r="F83" s="79"/>
      <c r="G83" s="80"/>
    </row>
    <row r="84" spans="1:7" ht="22.5" customHeight="1">
      <c r="A84" s="74"/>
      <c r="B84" s="82"/>
      <c r="C84" s="80"/>
      <c r="D84" s="82"/>
      <c r="E84" s="78"/>
      <c r="F84" s="79"/>
      <c r="G84" s="80"/>
    </row>
    <row r="85" spans="1:4" ht="22.5" customHeight="1">
      <c r="A85" s="2" t="s">
        <v>5</v>
      </c>
      <c r="B85" s="2"/>
      <c r="C85" s="2"/>
      <c r="D85" s="39"/>
    </row>
    <row r="86" spans="1:3" ht="22.5" customHeight="1">
      <c r="A86" s="40"/>
      <c r="B86" s="40"/>
      <c r="C86" s="40"/>
    </row>
    <row r="87" spans="1:3" ht="22.5" customHeight="1">
      <c r="A87" s="40"/>
      <c r="B87" s="40"/>
      <c r="C87" s="40"/>
    </row>
    <row r="88" spans="1:3" ht="22.5" customHeight="1">
      <c r="A88" s="40"/>
      <c r="B88" s="40"/>
      <c r="C88" s="40"/>
    </row>
    <row r="89" spans="1:3" ht="22.5" customHeight="1">
      <c r="A89" s="40"/>
      <c r="B89" s="40"/>
      <c r="C89" s="40"/>
    </row>
    <row r="90" spans="1:3" ht="22.5" customHeight="1">
      <c r="A90" s="40"/>
      <c r="B90" s="40"/>
      <c r="C90" s="40"/>
    </row>
    <row r="91" spans="1:11" s="103" customFormat="1" ht="22.5" customHeight="1">
      <c r="A91" s="96" t="s">
        <v>215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s="103" customFormat="1" ht="23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</row>
  </sheetData>
  <sheetProtection/>
  <mergeCells count="2">
    <mergeCell ref="E6:G6"/>
    <mergeCell ref="E59:G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85" zoomScaleNormal="85" zoomScalePageLayoutView="0" workbookViewId="0" topLeftCell="A3">
      <selection activeCell="A5" sqref="A4:A5"/>
    </sheetView>
  </sheetViews>
  <sheetFormatPr defaultColWidth="9.140625" defaultRowHeight="27" customHeight="1"/>
  <cols>
    <col min="1" max="1" width="43.00390625" style="67" customWidth="1"/>
    <col min="2" max="2" width="2.00390625" style="64" customWidth="1"/>
    <col min="3" max="3" width="9.140625" style="64" customWidth="1"/>
    <col min="4" max="4" width="1.8515625" style="64" customWidth="1"/>
    <col min="5" max="5" width="15.28125" style="43" bestFit="1" customWidth="1"/>
    <col min="6" max="6" width="1.28515625" style="43" customWidth="1"/>
    <col min="7" max="7" width="17.140625" style="43" customWidth="1"/>
    <col min="8" max="8" width="1.28515625" style="43" customWidth="1"/>
    <col min="9" max="9" width="13.140625" style="43" bestFit="1" customWidth="1"/>
    <col min="10" max="10" width="1.28515625" style="43" customWidth="1"/>
    <col min="11" max="11" width="16.7109375" style="43" bestFit="1" customWidth="1"/>
    <col min="12" max="12" width="1.28515625" style="43" customWidth="1"/>
    <col min="13" max="13" width="14.140625" style="43" customWidth="1"/>
    <col min="14" max="14" width="1.28515625" style="43" customWidth="1"/>
    <col min="15" max="15" width="15.28125" style="43" bestFit="1" customWidth="1"/>
    <col min="16" max="16" width="1.28515625" style="43" customWidth="1"/>
    <col min="17" max="17" width="18.00390625" style="43" bestFit="1" customWidth="1"/>
    <col min="18" max="18" width="1.28515625" style="51" customWidth="1"/>
    <col min="19" max="19" width="17.140625" style="43" customWidth="1"/>
    <col min="20" max="20" width="1.28515625" style="43" customWidth="1"/>
    <col min="21" max="21" width="17.421875" style="43" customWidth="1"/>
    <col min="22" max="22" width="1.28515625" style="43" customWidth="1"/>
    <col min="23" max="23" width="15.57421875" style="43" bestFit="1" customWidth="1"/>
    <col min="24" max="24" width="1.28515625" style="43" customWidth="1"/>
    <col min="25" max="25" width="14.28125" style="43" bestFit="1" customWidth="1"/>
    <col min="26" max="26" width="1.28515625" style="43" customWidth="1"/>
    <col min="27" max="27" width="17.00390625" style="43" customWidth="1"/>
    <col min="28" max="28" width="1.28515625" style="43" customWidth="1"/>
    <col min="29" max="29" width="18.00390625" style="43" bestFit="1" customWidth="1"/>
    <col min="30" max="30" width="0.9921875" style="43" customWidth="1"/>
    <col min="31" max="31" width="9.140625" style="43" customWidth="1"/>
    <col min="32" max="32" width="19.28125" style="43" customWidth="1"/>
    <col min="33" max="33" width="12.00390625" style="43" bestFit="1" customWidth="1"/>
    <col min="34" max="16384" width="9.140625" style="43" customWidth="1"/>
  </cols>
  <sheetData>
    <row r="1" spans="1:30" s="42" customFormat="1" ht="27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18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41"/>
    </row>
    <row r="2" spans="1:30" s="42" customFormat="1" ht="27" customHeight="1">
      <c r="A2" s="282" t="s">
        <v>153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18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44"/>
    </row>
    <row r="3" spans="1:30" s="42" customFormat="1" ht="27" customHeight="1">
      <c r="A3" s="102" t="s">
        <v>247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218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44"/>
    </row>
    <row r="4" spans="1:30" s="42" customFormat="1" ht="27" customHeight="1">
      <c r="A4" s="102" t="s">
        <v>166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218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44"/>
    </row>
    <row r="5" spans="1:30" s="45" customFormat="1" ht="9" customHeight="1">
      <c r="A5" s="64"/>
      <c r="B5" s="64"/>
      <c r="C5" s="64"/>
      <c r="D5" s="6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83"/>
      <c r="S5" s="77"/>
      <c r="T5" s="46"/>
      <c r="U5" s="46"/>
      <c r="V5" s="46"/>
      <c r="W5" s="46"/>
      <c r="X5" s="46"/>
      <c r="Y5" s="46"/>
      <c r="Z5" s="46"/>
      <c r="AA5" s="46"/>
      <c r="AB5" s="46"/>
      <c r="AC5" s="46"/>
      <c r="AD5" s="44"/>
    </row>
    <row r="6" spans="1:30" ht="27" customHeight="1">
      <c r="A6" s="65"/>
      <c r="B6" s="217"/>
      <c r="C6" s="217"/>
      <c r="D6" s="217"/>
      <c r="E6" s="279" t="s">
        <v>51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89"/>
      <c r="W6" s="89"/>
      <c r="X6" s="89"/>
      <c r="Y6" s="89"/>
      <c r="Z6" s="89"/>
      <c r="AA6" s="89"/>
      <c r="AB6" s="89"/>
      <c r="AC6" s="48" t="s">
        <v>116</v>
      </c>
      <c r="AD6" s="49"/>
    </row>
    <row r="7" spans="1:30" ht="27" customHeight="1">
      <c r="A7" s="65"/>
      <c r="B7" s="217"/>
      <c r="C7" s="217"/>
      <c r="D7" s="217"/>
      <c r="E7" s="84"/>
      <c r="F7" s="84"/>
      <c r="G7" s="84"/>
      <c r="H7" s="84"/>
      <c r="I7" s="84"/>
      <c r="J7" s="98"/>
      <c r="K7" s="98"/>
      <c r="L7" s="84"/>
      <c r="M7" s="85" t="s">
        <v>18</v>
      </c>
      <c r="N7" s="85"/>
      <c r="O7" s="85"/>
      <c r="P7" s="85"/>
      <c r="Q7" s="85"/>
      <c r="R7" s="84"/>
      <c r="S7" s="85" t="s">
        <v>127</v>
      </c>
      <c r="T7" s="85"/>
      <c r="U7" s="85"/>
      <c r="V7" s="85"/>
      <c r="W7" s="85"/>
      <c r="X7" s="85"/>
      <c r="Y7" s="85"/>
      <c r="Z7" s="85"/>
      <c r="AA7" s="85"/>
      <c r="AB7" s="98"/>
      <c r="AC7" s="86"/>
      <c r="AD7" s="49"/>
    </row>
    <row r="8" spans="1:30" ht="27" customHeight="1">
      <c r="A8" s="65"/>
      <c r="B8" s="217"/>
      <c r="C8" s="217"/>
      <c r="D8" s="217"/>
      <c r="E8" s="50" t="s">
        <v>16</v>
      </c>
      <c r="F8" s="50"/>
      <c r="G8" s="50" t="s">
        <v>114</v>
      </c>
      <c r="H8" s="50"/>
      <c r="I8" s="50" t="s">
        <v>133</v>
      </c>
      <c r="J8" s="90"/>
      <c r="K8" s="50" t="s">
        <v>180</v>
      </c>
      <c r="L8" s="50"/>
      <c r="M8" s="85" t="s">
        <v>123</v>
      </c>
      <c r="N8" s="85"/>
      <c r="O8" s="85"/>
      <c r="P8" s="50"/>
      <c r="Q8" s="50" t="s">
        <v>126</v>
      </c>
      <c r="R8" s="50"/>
      <c r="S8" s="50" t="s">
        <v>129</v>
      </c>
      <c r="T8" s="50"/>
      <c r="U8" s="50" t="s">
        <v>146</v>
      </c>
      <c r="V8" s="90"/>
      <c r="W8" s="50" t="s">
        <v>181</v>
      </c>
      <c r="X8" s="90"/>
      <c r="Y8" s="50" t="s">
        <v>182</v>
      </c>
      <c r="Z8" s="98"/>
      <c r="AA8" s="50"/>
      <c r="AB8" s="90"/>
      <c r="AC8" s="49"/>
      <c r="AD8" s="49"/>
    </row>
    <row r="9" spans="1:30" ht="27" customHeight="1">
      <c r="A9" s="65"/>
      <c r="B9" s="217"/>
      <c r="C9" s="217"/>
      <c r="D9" s="217"/>
      <c r="E9" s="50" t="s">
        <v>112</v>
      </c>
      <c r="F9" s="50"/>
      <c r="G9" s="50" t="s">
        <v>115</v>
      </c>
      <c r="H9" s="50"/>
      <c r="I9" s="50" t="s">
        <v>134</v>
      </c>
      <c r="J9" s="50"/>
      <c r="K9" s="50" t="s">
        <v>183</v>
      </c>
      <c r="L9" s="50"/>
      <c r="M9" s="87" t="s">
        <v>124</v>
      </c>
      <c r="N9" s="50"/>
      <c r="O9" s="87" t="s">
        <v>17</v>
      </c>
      <c r="P9" s="50"/>
      <c r="Q9" s="50" t="s">
        <v>128</v>
      </c>
      <c r="R9" s="50"/>
      <c r="S9" s="50" t="s">
        <v>131</v>
      </c>
      <c r="T9" s="50"/>
      <c r="U9" s="50" t="s">
        <v>147</v>
      </c>
      <c r="V9" s="50"/>
      <c r="W9" s="50" t="s">
        <v>184</v>
      </c>
      <c r="X9" s="50"/>
      <c r="Y9" s="50" t="s">
        <v>204</v>
      </c>
      <c r="Z9" s="50"/>
      <c r="AA9" s="50" t="s">
        <v>19</v>
      </c>
      <c r="AB9" s="50"/>
      <c r="AC9" s="49" t="s">
        <v>185</v>
      </c>
      <c r="AD9" s="49"/>
    </row>
    <row r="10" spans="1:30" ht="27" customHeight="1">
      <c r="A10" s="65"/>
      <c r="B10" s="217"/>
      <c r="C10" s="217"/>
      <c r="D10" s="217"/>
      <c r="E10" s="50" t="s">
        <v>113</v>
      </c>
      <c r="F10" s="50"/>
      <c r="G10" s="50" t="s">
        <v>20</v>
      </c>
      <c r="H10" s="50"/>
      <c r="I10" s="50" t="s">
        <v>135</v>
      </c>
      <c r="J10" s="50"/>
      <c r="K10" s="50" t="s">
        <v>186</v>
      </c>
      <c r="L10" s="50"/>
      <c r="M10" s="87" t="s">
        <v>125</v>
      </c>
      <c r="N10" s="50"/>
      <c r="O10" s="87"/>
      <c r="P10" s="50"/>
      <c r="Q10" s="50"/>
      <c r="R10" s="50"/>
      <c r="S10" s="50" t="s">
        <v>130</v>
      </c>
      <c r="T10" s="50"/>
      <c r="U10" s="50" t="s">
        <v>187</v>
      </c>
      <c r="V10" s="50"/>
      <c r="W10" s="50" t="s">
        <v>179</v>
      </c>
      <c r="X10" s="50"/>
      <c r="Y10" s="50" t="s">
        <v>205</v>
      </c>
      <c r="Z10" s="50"/>
      <c r="AA10" s="50"/>
      <c r="AB10" s="50"/>
      <c r="AC10" s="49"/>
      <c r="AD10" s="49"/>
    </row>
    <row r="11" spans="1:30" ht="27" customHeight="1">
      <c r="A11" s="65"/>
      <c r="B11" s="217"/>
      <c r="C11" s="50" t="s">
        <v>2</v>
      </c>
      <c r="D11" s="217"/>
      <c r="E11" s="47"/>
      <c r="F11" s="47"/>
      <c r="G11" s="47"/>
      <c r="H11" s="47"/>
      <c r="I11" s="47"/>
      <c r="J11" s="47"/>
      <c r="K11" s="47" t="s">
        <v>135</v>
      </c>
      <c r="L11" s="47"/>
      <c r="M11" s="88"/>
      <c r="N11" s="47"/>
      <c r="O11" s="47"/>
      <c r="P11" s="47"/>
      <c r="Q11" s="47"/>
      <c r="R11" s="47"/>
      <c r="S11" s="47"/>
      <c r="T11" s="47"/>
      <c r="U11" s="47" t="s">
        <v>188</v>
      </c>
      <c r="V11" s="47"/>
      <c r="W11" s="47" t="s">
        <v>189</v>
      </c>
      <c r="X11" s="47"/>
      <c r="Y11" s="47" t="s">
        <v>135</v>
      </c>
      <c r="Z11" s="47"/>
      <c r="AA11" s="47"/>
      <c r="AB11" s="47"/>
      <c r="AC11" s="48"/>
      <c r="AD11" s="49"/>
    </row>
    <row r="12" spans="1:30" ht="6.75" customHeight="1">
      <c r="A12" s="66"/>
      <c r="B12" s="172"/>
      <c r="C12" s="172"/>
      <c r="D12" s="172"/>
      <c r="E12" s="91"/>
      <c r="F12" s="91"/>
      <c r="G12" s="91"/>
      <c r="H12" s="91"/>
      <c r="I12" s="91"/>
      <c r="J12" s="91"/>
      <c r="K12" s="91"/>
      <c r="L12" s="91"/>
      <c r="M12" s="91"/>
      <c r="N12" s="126"/>
      <c r="O12" s="91"/>
      <c r="P12" s="126"/>
      <c r="Q12" s="91"/>
      <c r="R12" s="91"/>
      <c r="S12" s="91"/>
      <c r="T12" s="126"/>
      <c r="U12" s="91"/>
      <c r="V12" s="91"/>
      <c r="W12" s="91"/>
      <c r="X12" s="91"/>
      <c r="Y12" s="91"/>
      <c r="Z12" s="91"/>
      <c r="AA12" s="91"/>
      <c r="AB12" s="91"/>
      <c r="AC12" s="91"/>
      <c r="AD12" s="39"/>
    </row>
    <row r="13" spans="1:30" ht="27" customHeight="1">
      <c r="A13" s="66" t="s">
        <v>226</v>
      </c>
      <c r="B13" s="172"/>
      <c r="C13" s="172"/>
      <c r="D13" s="172"/>
      <c r="E13" s="263">
        <v>494034300</v>
      </c>
      <c r="F13" s="264"/>
      <c r="G13" s="263">
        <v>1041357580</v>
      </c>
      <c r="H13" s="264"/>
      <c r="I13" s="263">
        <v>6151888.73</v>
      </c>
      <c r="J13" s="264"/>
      <c r="K13" s="263">
        <v>13932199.96</v>
      </c>
      <c r="L13" s="264"/>
      <c r="M13" s="263">
        <v>80000000</v>
      </c>
      <c r="N13" s="264"/>
      <c r="O13" s="263">
        <v>280000000</v>
      </c>
      <c r="P13" s="264"/>
      <c r="Q13" s="263">
        <v>13923647828.270002</v>
      </c>
      <c r="R13" s="264"/>
      <c r="S13" s="263">
        <v>1713840909.51</v>
      </c>
      <c r="T13" s="264"/>
      <c r="U13" s="263">
        <v>1773203051.76</v>
      </c>
      <c r="V13" s="265"/>
      <c r="W13" s="263">
        <v>20239179.29</v>
      </c>
      <c r="X13" s="265"/>
      <c r="Y13" s="263">
        <v>7233135.640000001</v>
      </c>
      <c r="Z13" s="265"/>
      <c r="AA13" s="263">
        <f>SUM(S13:Y13)</f>
        <v>3514516276.2</v>
      </c>
      <c r="AB13" s="265"/>
      <c r="AC13" s="263">
        <f>SUM(E13:Q13,AA13)</f>
        <v>19353640073.160004</v>
      </c>
      <c r="AD13" s="261"/>
    </row>
    <row r="14" spans="1:30" ht="27" customHeight="1">
      <c r="A14" s="66" t="s">
        <v>216</v>
      </c>
      <c r="B14" s="172"/>
      <c r="C14" s="177">
        <v>17.3</v>
      </c>
      <c r="D14" s="172"/>
      <c r="E14" s="263"/>
      <c r="F14" s="264"/>
      <c r="G14" s="263"/>
      <c r="H14" s="264"/>
      <c r="I14" s="263"/>
      <c r="J14" s="264"/>
      <c r="K14" s="263"/>
      <c r="L14" s="264"/>
      <c r="M14" s="263"/>
      <c r="N14" s="264"/>
      <c r="O14" s="263"/>
      <c r="P14" s="264"/>
      <c r="Q14" s="254">
        <v>-113627889</v>
      </c>
      <c r="R14" s="264"/>
      <c r="S14" s="272"/>
      <c r="T14" s="264"/>
      <c r="U14" s="263"/>
      <c r="V14" s="265"/>
      <c r="W14" s="263"/>
      <c r="X14" s="265"/>
      <c r="Y14" s="263"/>
      <c r="Z14" s="265"/>
      <c r="AA14" s="263"/>
      <c r="AB14" s="265"/>
      <c r="AC14" s="273">
        <f>SUM(G14:S14,AA14)</f>
        <v>-113627889</v>
      </c>
      <c r="AD14" s="261"/>
    </row>
    <row r="15" spans="1:30" ht="27" customHeight="1">
      <c r="A15" s="66" t="s">
        <v>192</v>
      </c>
      <c r="B15" s="172"/>
      <c r="C15" s="172"/>
      <c r="D15" s="172"/>
      <c r="E15" s="254"/>
      <c r="F15" s="247"/>
      <c r="G15" s="254"/>
      <c r="H15" s="247"/>
      <c r="I15" s="254"/>
      <c r="J15" s="247"/>
      <c r="K15" s="254">
        <v>-13932199.96</v>
      </c>
      <c r="L15" s="247"/>
      <c r="M15" s="254"/>
      <c r="N15" s="259"/>
      <c r="O15" s="254"/>
      <c r="P15" s="259"/>
      <c r="Q15" s="254"/>
      <c r="R15" s="259"/>
      <c r="S15" s="254"/>
      <c r="T15" s="259"/>
      <c r="U15" s="254"/>
      <c r="V15" s="260"/>
      <c r="W15" s="254"/>
      <c r="X15" s="260"/>
      <c r="Y15" s="254"/>
      <c r="Z15" s="260"/>
      <c r="AA15" s="254"/>
      <c r="AB15" s="260"/>
      <c r="AC15" s="254">
        <f>SUM(E15:Q15,AA15)</f>
        <v>-13932199.96</v>
      </c>
      <c r="AD15" s="261"/>
    </row>
    <row r="16" spans="1:30" ht="27" customHeight="1">
      <c r="A16" s="66" t="s">
        <v>260</v>
      </c>
      <c r="B16" s="172"/>
      <c r="C16" s="172"/>
      <c r="D16" s="172"/>
      <c r="E16" s="254"/>
      <c r="F16" s="247"/>
      <c r="G16" s="254"/>
      <c r="H16" s="247"/>
      <c r="I16" s="254"/>
      <c r="J16" s="247"/>
      <c r="K16" s="254"/>
      <c r="L16" s="247"/>
      <c r="M16" s="254"/>
      <c r="N16" s="259"/>
      <c r="O16" s="254"/>
      <c r="P16" s="259"/>
      <c r="Q16" s="254"/>
      <c r="R16" s="259"/>
      <c r="S16" s="254"/>
      <c r="T16" s="259"/>
      <c r="U16" s="254"/>
      <c r="V16" s="260"/>
      <c r="W16" s="254"/>
      <c r="X16" s="260"/>
      <c r="Y16" s="254"/>
      <c r="Z16" s="260"/>
      <c r="AA16" s="254"/>
      <c r="AB16" s="260"/>
      <c r="AC16" s="254"/>
      <c r="AD16" s="261"/>
    </row>
    <row r="17" spans="1:30" ht="27" customHeight="1">
      <c r="A17" s="66" t="s">
        <v>261</v>
      </c>
      <c r="B17" s="172"/>
      <c r="C17" s="172"/>
      <c r="D17" s="172"/>
      <c r="E17" s="254"/>
      <c r="F17" s="247"/>
      <c r="G17" s="254"/>
      <c r="H17" s="247"/>
      <c r="I17" s="254"/>
      <c r="J17" s="247"/>
      <c r="K17" s="254"/>
      <c r="L17" s="247"/>
      <c r="M17" s="254"/>
      <c r="N17" s="259"/>
      <c r="O17" s="254"/>
      <c r="P17" s="259"/>
      <c r="Q17" s="254"/>
      <c r="R17" s="259"/>
      <c r="S17" s="254"/>
      <c r="T17" s="259"/>
      <c r="U17" s="254"/>
      <c r="V17" s="260"/>
      <c r="W17" s="254">
        <v>-171013.68</v>
      </c>
      <c r="X17" s="260"/>
      <c r="Y17" s="254"/>
      <c r="Z17" s="260"/>
      <c r="AA17" s="273">
        <f>SUM(S17:Y17)</f>
        <v>-171013.68</v>
      </c>
      <c r="AB17" s="260"/>
      <c r="AC17" s="254">
        <f>SUM(E17:Q17,AA17)</f>
        <v>-171013.68</v>
      </c>
      <c r="AD17" s="261"/>
    </row>
    <row r="18" spans="1:30" ht="27" customHeight="1">
      <c r="A18" s="66" t="s">
        <v>249</v>
      </c>
      <c r="B18" s="172"/>
      <c r="C18" s="172"/>
      <c r="D18" s="172"/>
      <c r="E18" s="254"/>
      <c r="F18" s="247"/>
      <c r="G18" s="254"/>
      <c r="H18" s="247"/>
      <c r="I18" s="254"/>
      <c r="J18" s="247"/>
      <c r="K18" s="254"/>
      <c r="L18" s="247"/>
      <c r="M18" s="254"/>
      <c r="N18" s="259"/>
      <c r="O18" s="254"/>
      <c r="P18" s="259"/>
      <c r="Q18" s="262"/>
      <c r="R18" s="259"/>
      <c r="S18" s="254"/>
      <c r="T18" s="259"/>
      <c r="U18" s="254"/>
      <c r="V18" s="260"/>
      <c r="X18" s="260"/>
      <c r="Y18" s="254"/>
      <c r="Z18" s="260"/>
      <c r="AA18" s="273"/>
      <c r="AB18" s="260"/>
      <c r="AC18" s="254"/>
      <c r="AD18" s="261"/>
    </row>
    <row r="19" spans="1:30" ht="27" customHeight="1">
      <c r="A19" s="66" t="s">
        <v>191</v>
      </c>
      <c r="B19" s="172"/>
      <c r="C19" s="172"/>
      <c r="D19" s="172"/>
      <c r="E19" s="254"/>
      <c r="F19" s="247"/>
      <c r="G19" s="254"/>
      <c r="H19" s="247"/>
      <c r="I19" s="254"/>
      <c r="J19" s="247"/>
      <c r="K19" s="254"/>
      <c r="L19" s="247"/>
      <c r="M19" s="254"/>
      <c r="N19" s="259"/>
      <c r="O19" s="254"/>
      <c r="P19" s="259"/>
      <c r="Q19" s="254">
        <f>PL12M!G47</f>
        <v>1317087383.9599998</v>
      </c>
      <c r="R19" s="259"/>
      <c r="S19" s="274"/>
      <c r="T19" s="259"/>
      <c r="U19" s="254"/>
      <c r="V19" s="260"/>
      <c r="W19" s="254"/>
      <c r="X19" s="260"/>
      <c r="Y19" s="254"/>
      <c r="Z19" s="260"/>
      <c r="AA19" s="254"/>
      <c r="AB19" s="260"/>
      <c r="AC19" s="254">
        <f>SUM(E19:Q19,AA19)</f>
        <v>1317087383.9599998</v>
      </c>
      <c r="AD19" s="261"/>
    </row>
    <row r="20" spans="1:30" ht="27" customHeight="1">
      <c r="A20" s="66" t="s">
        <v>190</v>
      </c>
      <c r="B20" s="172"/>
      <c r="C20" s="172"/>
      <c r="D20" s="172"/>
      <c r="E20" s="254"/>
      <c r="F20" s="247"/>
      <c r="G20" s="254"/>
      <c r="H20" s="247"/>
      <c r="I20" s="254"/>
      <c r="J20" s="247"/>
      <c r="K20" s="254"/>
      <c r="L20" s="247"/>
      <c r="M20" s="254"/>
      <c r="N20" s="259"/>
      <c r="O20" s="254"/>
      <c r="P20" s="259"/>
      <c r="Q20" s="273">
        <f>PL12M!G73+PL12M!G71</f>
        <v>50670701.44</v>
      </c>
      <c r="R20" s="259"/>
      <c r="S20" s="273">
        <f>PL12M!G64</f>
        <v>-143160031.2</v>
      </c>
      <c r="T20" s="275"/>
      <c r="U20" s="273">
        <f>PL12M!G66</f>
        <v>-96486867.61</v>
      </c>
      <c r="V20" s="276"/>
      <c r="W20" s="36"/>
      <c r="X20" s="276"/>
      <c r="Y20" s="254">
        <f>PL12M!G67</f>
        <v>3228199.92</v>
      </c>
      <c r="Z20" s="276"/>
      <c r="AA20" s="273">
        <f>SUM(S20:Y20)</f>
        <v>-236418698.89000002</v>
      </c>
      <c r="AB20" s="276"/>
      <c r="AC20" s="254">
        <f>SUM(E20:Q20,AA20)</f>
        <v>-185747997.45000002</v>
      </c>
      <c r="AD20" s="261"/>
    </row>
    <row r="21" spans="1:30" ht="27" customHeight="1" thickBot="1">
      <c r="A21" s="66" t="s">
        <v>251</v>
      </c>
      <c r="B21" s="172"/>
      <c r="C21" s="172"/>
      <c r="D21" s="172"/>
      <c r="E21" s="270">
        <f>SUM(E13:E20)</f>
        <v>494034300</v>
      </c>
      <c r="F21" s="264"/>
      <c r="G21" s="270">
        <f>SUM(G13:G20)</f>
        <v>1041357580</v>
      </c>
      <c r="H21" s="264"/>
      <c r="I21" s="270">
        <f>SUM(I13:I20)</f>
        <v>6151888.73</v>
      </c>
      <c r="J21" s="247"/>
      <c r="K21" s="271">
        <f>SUM(K13:K20)</f>
        <v>0</v>
      </c>
      <c r="L21" s="247"/>
      <c r="M21" s="270">
        <f>SUM(M13:M20)</f>
        <v>80000000</v>
      </c>
      <c r="N21" s="264"/>
      <c r="O21" s="270">
        <f>SUM(O13:O20)</f>
        <v>280000000</v>
      </c>
      <c r="P21" s="264"/>
      <c r="Q21" s="270">
        <f>SUM(Q13:Q20)</f>
        <v>15177778024.670002</v>
      </c>
      <c r="R21" s="264"/>
      <c r="S21" s="270">
        <f>SUM(S13:S20)</f>
        <v>1570680878.31</v>
      </c>
      <c r="T21" s="264"/>
      <c r="U21" s="270">
        <f>SUM(U13:U20)</f>
        <v>1676716184.15</v>
      </c>
      <c r="V21" s="264"/>
      <c r="W21" s="270">
        <f>SUM(W13:W20)</f>
        <v>20068165.61</v>
      </c>
      <c r="X21" s="264"/>
      <c r="Y21" s="270">
        <f>SUM(Y13:Y20)</f>
        <v>10461335.56</v>
      </c>
      <c r="Z21" s="264"/>
      <c r="AA21" s="270">
        <f>SUM(AA13:AA20)</f>
        <v>3277926563.63</v>
      </c>
      <c r="AB21" s="264"/>
      <c r="AC21" s="270">
        <f>SUM(AC13:AC20)</f>
        <v>20357248357.030003</v>
      </c>
      <c r="AD21" s="247"/>
    </row>
    <row r="22" spans="1:31" ht="24" thickTop="1">
      <c r="A22" s="66"/>
      <c r="B22" s="172"/>
      <c r="C22" s="172"/>
      <c r="D22" s="172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54"/>
    </row>
    <row r="23" spans="1:30" ht="27" customHeight="1">
      <c r="A23" s="66" t="s">
        <v>225</v>
      </c>
      <c r="B23" s="172"/>
      <c r="C23" s="172"/>
      <c r="D23" s="172"/>
      <c r="E23" s="263">
        <v>494034300</v>
      </c>
      <c r="F23" s="263"/>
      <c r="G23" s="263">
        <v>1041357580</v>
      </c>
      <c r="H23" s="263"/>
      <c r="I23" s="263">
        <v>6151888.73</v>
      </c>
      <c r="J23" s="263"/>
      <c r="K23" s="247">
        <v>0</v>
      </c>
      <c r="L23" s="263"/>
      <c r="M23" s="263">
        <v>80000000</v>
      </c>
      <c r="N23" s="263"/>
      <c r="O23" s="263">
        <v>280000000</v>
      </c>
      <c r="P23" s="263"/>
      <c r="Q23" s="263">
        <v>15177778024.67</v>
      </c>
      <c r="R23" s="263"/>
      <c r="S23" s="263">
        <v>1570680878.31</v>
      </c>
      <c r="T23" s="263"/>
      <c r="U23" s="263">
        <v>1676716184.15</v>
      </c>
      <c r="V23" s="263"/>
      <c r="W23" s="263">
        <v>20068165.61</v>
      </c>
      <c r="X23" s="263"/>
      <c r="Y23" s="263">
        <v>10461335.56</v>
      </c>
      <c r="Z23" s="263"/>
      <c r="AA23" s="263">
        <f>SUM(S23:Y23)</f>
        <v>3277926563.63</v>
      </c>
      <c r="AB23" s="260"/>
      <c r="AC23" s="254">
        <f>SUM(E23:Q23,AA23)</f>
        <v>20357248357.03</v>
      </c>
      <c r="AD23" s="261"/>
    </row>
    <row r="24" spans="1:30" ht="27" customHeight="1">
      <c r="A24" s="66" t="s">
        <v>216</v>
      </c>
      <c r="B24" s="172"/>
      <c r="C24" s="172" t="s">
        <v>270</v>
      </c>
      <c r="D24" s="172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47">
        <v>-163031319</v>
      </c>
      <c r="R24" s="264"/>
      <c r="S24" s="287"/>
      <c r="T24" s="264"/>
      <c r="U24" s="264"/>
      <c r="V24" s="265"/>
      <c r="W24" s="264"/>
      <c r="X24" s="265"/>
      <c r="Y24" s="264"/>
      <c r="Z24" s="265"/>
      <c r="AA24" s="264"/>
      <c r="AB24" s="265"/>
      <c r="AC24" s="247">
        <f>SUM(G24:S24,AA24)</f>
        <v>-163031319</v>
      </c>
      <c r="AD24" s="261"/>
    </row>
    <row r="25" spans="1:30" ht="27" customHeight="1">
      <c r="A25" s="66" t="s">
        <v>249</v>
      </c>
      <c r="B25" s="172"/>
      <c r="C25" s="172"/>
      <c r="D25" s="172"/>
      <c r="E25" s="247"/>
      <c r="F25" s="247"/>
      <c r="G25" s="247"/>
      <c r="H25" s="247"/>
      <c r="I25" s="247"/>
      <c r="J25" s="247"/>
      <c r="K25" s="247"/>
      <c r="L25" s="247"/>
      <c r="M25" s="247"/>
      <c r="N25" s="259"/>
      <c r="O25" s="247"/>
      <c r="P25" s="259"/>
      <c r="Q25" s="247"/>
      <c r="R25" s="259"/>
      <c r="S25" s="247"/>
      <c r="T25" s="259"/>
      <c r="U25" s="247"/>
      <c r="V25" s="260"/>
      <c r="W25" s="247"/>
      <c r="X25" s="260"/>
      <c r="Y25" s="247"/>
      <c r="Z25" s="260"/>
      <c r="AA25" s="247"/>
      <c r="AB25" s="260"/>
      <c r="AC25" s="247"/>
      <c r="AD25" s="261"/>
    </row>
    <row r="26" spans="1:30" ht="27" customHeight="1">
      <c r="A26" s="66" t="s">
        <v>191</v>
      </c>
      <c r="B26" s="177"/>
      <c r="C26" s="177"/>
      <c r="D26" s="177"/>
      <c r="E26" s="247"/>
      <c r="F26" s="247"/>
      <c r="G26" s="247"/>
      <c r="H26" s="247"/>
      <c r="I26" s="247"/>
      <c r="J26" s="247"/>
      <c r="K26" s="247"/>
      <c r="L26" s="247"/>
      <c r="M26" s="247"/>
      <c r="N26" s="259"/>
      <c r="O26" s="247"/>
      <c r="P26" s="259"/>
      <c r="Q26" s="263">
        <f>PL12M!E47</f>
        <v>1546695028.4199996</v>
      </c>
      <c r="R26" s="259"/>
      <c r="S26" s="247"/>
      <c r="T26" s="259"/>
      <c r="U26" s="247"/>
      <c r="V26" s="260"/>
      <c r="W26" s="247"/>
      <c r="X26" s="260"/>
      <c r="Y26" s="247"/>
      <c r="Z26" s="260"/>
      <c r="AA26" s="264"/>
      <c r="AB26" s="264"/>
      <c r="AC26" s="254">
        <f>SUM(E26:Q26,AA26)</f>
        <v>1546695028.4199996</v>
      </c>
      <c r="AD26" s="261"/>
    </row>
    <row r="27" spans="1:30" ht="27" customHeight="1">
      <c r="A27" s="66" t="s">
        <v>190</v>
      </c>
      <c r="B27" s="172"/>
      <c r="C27" s="172"/>
      <c r="D27" s="172"/>
      <c r="E27" s="247"/>
      <c r="F27" s="247"/>
      <c r="G27" s="247"/>
      <c r="H27" s="247"/>
      <c r="I27" s="247"/>
      <c r="J27" s="247"/>
      <c r="K27" s="247"/>
      <c r="L27" s="247"/>
      <c r="M27" s="247"/>
      <c r="N27" s="259"/>
      <c r="O27" s="247"/>
      <c r="P27" s="259"/>
      <c r="Q27" s="247">
        <f>PL12M!E73+PL12M!E71</f>
        <v>-13441543.739999998</v>
      </c>
      <c r="R27" s="259"/>
      <c r="S27" s="263">
        <f>PL12M!E64</f>
        <v>239995467.7</v>
      </c>
      <c r="T27" s="263"/>
      <c r="U27" s="273">
        <f>PL12M!E66</f>
        <v>266231248.96999997</v>
      </c>
      <c r="V27" s="260"/>
      <c r="W27" s="247"/>
      <c r="X27" s="260"/>
      <c r="Y27" s="247">
        <f>PL12M!E67</f>
        <v>-3575876.75</v>
      </c>
      <c r="Z27" s="260"/>
      <c r="AA27" s="263">
        <f>SUM(S27:Y27)</f>
        <v>502650839.91999996</v>
      </c>
      <c r="AB27" s="264"/>
      <c r="AC27" s="254">
        <f>SUM(E27:Q27,AA27)</f>
        <v>489209296.17999995</v>
      </c>
      <c r="AD27" s="261"/>
    </row>
    <row r="28" spans="1:30" ht="27" customHeight="1" thickBot="1">
      <c r="A28" s="66" t="s">
        <v>248</v>
      </c>
      <c r="B28" s="172"/>
      <c r="C28" s="172"/>
      <c r="D28" s="172"/>
      <c r="E28" s="270">
        <f>SUM(E23:E27)</f>
        <v>494034300</v>
      </c>
      <c r="F28" s="264"/>
      <c r="G28" s="270">
        <f>SUM(G23:G27)</f>
        <v>1041357580</v>
      </c>
      <c r="H28" s="264"/>
      <c r="I28" s="270">
        <f>SUM(I23:I27)</f>
        <v>6151888.73</v>
      </c>
      <c r="J28" s="247"/>
      <c r="K28" s="271">
        <f>SUM(K23:K27)</f>
        <v>0</v>
      </c>
      <c r="L28" s="247"/>
      <c r="M28" s="270">
        <f>SUM(M23:M27)</f>
        <v>80000000</v>
      </c>
      <c r="N28" s="264"/>
      <c r="O28" s="270">
        <f>SUM(O23:O27)</f>
        <v>280000000</v>
      </c>
      <c r="P28" s="264"/>
      <c r="Q28" s="270">
        <f>SUM(Q23:Q27)</f>
        <v>16548000190.35</v>
      </c>
      <c r="R28" s="264"/>
      <c r="S28" s="270">
        <f>SUM(S23:S27)</f>
        <v>1810676346.01</v>
      </c>
      <c r="T28" s="264"/>
      <c r="U28" s="271">
        <f>SUM(U23:U27)</f>
        <v>1942947433.1200001</v>
      </c>
      <c r="V28" s="264"/>
      <c r="W28" s="270">
        <f>SUM(W23:W27)</f>
        <v>20068165.61</v>
      </c>
      <c r="X28" s="264"/>
      <c r="Y28" s="271">
        <f>SUM(Y23:Y27)</f>
        <v>6885458.8100000005</v>
      </c>
      <c r="Z28" s="264"/>
      <c r="AA28" s="271">
        <f>SUM(AA23:AA27)</f>
        <v>3780577403.55</v>
      </c>
      <c r="AB28" s="264"/>
      <c r="AC28" s="271">
        <f>SUM(AC23:AC27)</f>
        <v>22230121362.629997</v>
      </c>
      <c r="AD28" s="247"/>
    </row>
    <row r="29" spans="1:30" ht="27" customHeight="1" thickTop="1">
      <c r="A29" s="66"/>
      <c r="B29" s="172"/>
      <c r="C29" s="172"/>
      <c r="D29" s="172"/>
      <c r="E29" s="39"/>
      <c r="F29" s="39"/>
      <c r="G29" s="39"/>
      <c r="H29" s="39"/>
      <c r="I29" s="39"/>
      <c r="J29" s="39"/>
      <c r="K29" s="39"/>
      <c r="L29" s="39"/>
      <c r="M29" s="39"/>
      <c r="N29" s="3"/>
      <c r="O29" s="39"/>
      <c r="P29" s="3"/>
      <c r="Q29" s="39"/>
      <c r="R29" s="39"/>
      <c r="S29" s="39"/>
      <c r="T29" s="3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2:30" ht="23.25">
      <c r="B30" s="172"/>
      <c r="C30" s="172"/>
      <c r="D30" s="172"/>
      <c r="E30" s="39"/>
      <c r="F30" s="39"/>
      <c r="G30" s="39"/>
      <c r="H30" s="39"/>
      <c r="I30" s="39"/>
      <c r="J30" s="39"/>
      <c r="K30" s="39"/>
      <c r="L30" s="39"/>
      <c r="M30" s="39"/>
      <c r="N30" s="3"/>
      <c r="O30" s="39"/>
      <c r="P30" s="3"/>
      <c r="Q30" s="39"/>
      <c r="R30" s="39"/>
      <c r="S30" s="39"/>
      <c r="T30" s="3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ht="23.25">
      <c r="A31" s="66" t="s">
        <v>5</v>
      </c>
      <c r="B31" s="172"/>
      <c r="C31" s="172"/>
      <c r="D31" s="172"/>
      <c r="E31" s="39"/>
      <c r="F31" s="39"/>
      <c r="G31" s="39"/>
      <c r="H31" s="39"/>
      <c r="I31" s="39"/>
      <c r="J31" s="39"/>
      <c r="K31" s="39"/>
      <c r="L31" s="39"/>
      <c r="M31" s="39"/>
      <c r="N31" s="3"/>
      <c r="O31" s="39"/>
      <c r="P31" s="3"/>
      <c r="Q31" s="39"/>
      <c r="R31" s="39"/>
      <c r="S31" s="39"/>
      <c r="T31" s="3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ht="23.25">
      <c r="A32" s="66"/>
      <c r="B32" s="172"/>
      <c r="C32" s="172"/>
      <c r="D32" s="172"/>
      <c r="E32" s="39"/>
      <c r="F32" s="39"/>
      <c r="G32" s="39"/>
      <c r="H32" s="39"/>
      <c r="I32" s="39"/>
      <c r="J32" s="39"/>
      <c r="K32" s="39"/>
      <c r="L32" s="39"/>
      <c r="M32" s="39"/>
      <c r="N32" s="3"/>
      <c r="O32" s="39"/>
      <c r="P32" s="3"/>
      <c r="Q32" s="39"/>
      <c r="R32" s="39"/>
      <c r="S32" s="39"/>
      <c r="T32" s="3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ht="23.25">
      <c r="A33" s="66"/>
      <c r="B33" s="172"/>
      <c r="C33" s="172"/>
      <c r="D33" s="172"/>
      <c r="E33" s="39"/>
      <c r="F33" s="39"/>
      <c r="G33" s="39"/>
      <c r="H33" s="39"/>
      <c r="I33" s="39"/>
      <c r="J33" s="39"/>
      <c r="K33" s="39"/>
      <c r="L33" s="39"/>
      <c r="M33" s="39"/>
      <c r="N33" s="3"/>
      <c r="O33" s="39"/>
      <c r="P33" s="3"/>
      <c r="Q33" s="39"/>
      <c r="R33" s="39"/>
      <c r="S33" s="39"/>
      <c r="T33" s="3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ht="23.25">
      <c r="A34" s="66"/>
      <c r="B34" s="172"/>
      <c r="C34" s="172"/>
      <c r="D34" s="172"/>
      <c r="E34" s="39"/>
      <c r="F34" s="39"/>
      <c r="G34" s="39"/>
      <c r="H34" s="39"/>
      <c r="I34" s="39"/>
      <c r="J34" s="39"/>
      <c r="K34" s="39"/>
      <c r="L34" s="39"/>
      <c r="M34" s="39"/>
      <c r="N34" s="3"/>
      <c r="O34" s="39"/>
      <c r="P34" s="3"/>
      <c r="Q34" s="39"/>
      <c r="R34" s="39"/>
      <c r="S34" s="39"/>
      <c r="T34" s="3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5:31" ht="27" customHeight="1">
      <c r="E35" s="96" t="s">
        <v>171</v>
      </c>
      <c r="F35" s="96"/>
      <c r="G35" s="96"/>
      <c r="H35" s="96"/>
      <c r="I35" s="96"/>
      <c r="J35" s="63"/>
      <c r="K35" s="63"/>
      <c r="L35" s="96"/>
      <c r="M35" s="96"/>
      <c r="N35" s="96"/>
      <c r="O35" s="96"/>
      <c r="P35" s="62"/>
      <c r="Q35" s="63"/>
      <c r="R35" s="63"/>
      <c r="S35" s="63"/>
      <c r="T35" s="62"/>
      <c r="U35" s="63"/>
      <c r="V35" s="63"/>
      <c r="W35" s="63"/>
      <c r="X35" s="63"/>
      <c r="Y35" s="63"/>
      <c r="Z35" s="63"/>
      <c r="AA35" s="226"/>
      <c r="AB35" s="226"/>
      <c r="AC35" s="226"/>
      <c r="AD35" s="226"/>
      <c r="AE35" s="227"/>
    </row>
    <row r="36" spans="5:31" ht="27" customHeight="1">
      <c r="E36" s="96"/>
      <c r="F36" s="96"/>
      <c r="G36" s="96"/>
      <c r="H36" s="96"/>
      <c r="I36" s="96"/>
      <c r="J36" s="63"/>
      <c r="K36" s="63"/>
      <c r="L36" s="96"/>
      <c r="M36" s="96"/>
      <c r="N36" s="96"/>
      <c r="O36" s="96"/>
      <c r="P36" s="62"/>
      <c r="Q36" s="63"/>
      <c r="R36" s="63"/>
      <c r="S36" s="63"/>
      <c r="T36" s="62"/>
      <c r="U36" s="63"/>
      <c r="V36" s="63"/>
      <c r="W36" s="63"/>
      <c r="X36" s="63"/>
      <c r="Y36" s="63"/>
      <c r="Z36" s="63"/>
      <c r="AA36" s="226"/>
      <c r="AB36" s="226"/>
      <c r="AC36" s="226"/>
      <c r="AD36" s="226"/>
      <c r="AE36" s="227"/>
    </row>
    <row r="37" spans="28:31" ht="27" customHeight="1">
      <c r="AB37" s="227"/>
      <c r="AC37" s="227"/>
      <c r="AD37" s="227"/>
      <c r="AE37" s="227"/>
    </row>
  </sheetData>
  <sheetProtection/>
  <printOptions horizontalCentered="1"/>
  <pageMargins left="0.15748031496062992" right="0.15748031496062992" top="0.5118110236220472" bottom="0.15748031496062992" header="0.2362204724409449" footer="0.433070866141732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0" zoomScaleNormal="80" zoomScaleSheetLayoutView="80" zoomScalePageLayoutView="0" workbookViewId="0" topLeftCell="A7">
      <selection activeCell="A5" sqref="A4:A5"/>
    </sheetView>
  </sheetViews>
  <sheetFormatPr defaultColWidth="9.140625" defaultRowHeight="27" customHeight="1"/>
  <cols>
    <col min="1" max="1" width="50.28125" style="125" customWidth="1"/>
    <col min="2" max="2" width="9.57421875" style="125" customWidth="1"/>
    <col min="3" max="3" width="20.28125" style="125" customWidth="1"/>
    <col min="4" max="4" width="0.85546875" style="125" customWidth="1"/>
    <col min="5" max="5" width="20.28125" style="125" customWidth="1"/>
    <col min="6" max="6" width="0.85546875" style="125" customWidth="1"/>
    <col min="7" max="7" width="20.28125" style="125" customWidth="1"/>
    <col min="8" max="8" width="0.85546875" style="125" customWidth="1"/>
    <col min="9" max="9" width="20.28125" style="125" customWidth="1"/>
    <col min="10" max="10" width="0.85546875" style="125" customWidth="1"/>
    <col min="11" max="11" width="20.28125" style="125" customWidth="1"/>
    <col min="12" max="12" width="0.85546875" style="125" customWidth="1"/>
    <col min="13" max="13" width="20.28125" style="125" customWidth="1"/>
    <col min="14" max="14" width="0.85546875" style="125" customWidth="1"/>
    <col min="15" max="15" width="20.28125" style="125" customWidth="1"/>
    <col min="16" max="16" width="0.85546875" style="125" customWidth="1"/>
    <col min="17" max="17" width="16.57421875" style="125" bestFit="1" customWidth="1"/>
    <col min="18" max="18" width="13.7109375" style="125" bestFit="1" customWidth="1"/>
    <col min="19" max="16384" width="9.140625" style="125" customWidth="1"/>
  </cols>
  <sheetData>
    <row r="1" spans="1:15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62"/>
      <c r="M1" s="41"/>
      <c r="N1" s="41"/>
      <c r="O1" s="41"/>
    </row>
    <row r="2" spans="1:15" ht="27" customHeight="1">
      <c r="A2" s="41" t="s">
        <v>153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2"/>
      <c r="M2" s="41"/>
      <c r="N2" s="41"/>
      <c r="O2" s="41"/>
    </row>
    <row r="3" spans="1:15" ht="27" customHeight="1">
      <c r="A3" s="41" t="s">
        <v>245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2"/>
      <c r="M3" s="41"/>
      <c r="N3" s="41"/>
      <c r="O3" s="41"/>
    </row>
    <row r="4" spans="1:15" ht="27" customHeight="1">
      <c r="A4" s="41" t="s">
        <v>166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62"/>
      <c r="M4" s="41"/>
      <c r="N4" s="41"/>
      <c r="O4" s="41"/>
    </row>
    <row r="5" spans="1:15" ht="8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62"/>
      <c r="M5" s="41"/>
      <c r="N5" s="41"/>
      <c r="O5" s="41"/>
    </row>
    <row r="6" spans="1:15" ht="27" customHeight="1">
      <c r="A6" s="65"/>
      <c r="C6" s="89" t="s">
        <v>50</v>
      </c>
      <c r="D6" s="89"/>
      <c r="E6" s="89"/>
      <c r="F6" s="89"/>
      <c r="G6" s="89"/>
      <c r="H6" s="89"/>
      <c r="I6" s="89"/>
      <c r="J6" s="89"/>
      <c r="K6" s="89"/>
      <c r="L6" s="90"/>
      <c r="M6" s="89"/>
      <c r="N6" s="89"/>
      <c r="O6" s="89" t="s">
        <v>116</v>
      </c>
    </row>
    <row r="7" spans="1:15" ht="27" customHeight="1">
      <c r="A7" s="65"/>
      <c r="B7" s="173"/>
      <c r="C7" s="84"/>
      <c r="D7" s="84"/>
      <c r="E7" s="84"/>
      <c r="F7" s="164"/>
      <c r="G7" s="98"/>
      <c r="H7" s="98"/>
      <c r="I7" s="98"/>
      <c r="J7" s="98"/>
      <c r="K7" s="98"/>
      <c r="L7" s="164"/>
      <c r="M7" s="99" t="s">
        <v>143</v>
      </c>
      <c r="N7" s="164"/>
      <c r="O7" s="165"/>
    </row>
    <row r="8" spans="1:15" ht="27" customHeight="1">
      <c r="A8" s="65"/>
      <c r="B8" s="173"/>
      <c r="C8" s="50"/>
      <c r="D8" s="50"/>
      <c r="E8" s="50"/>
      <c r="F8" s="166"/>
      <c r="G8" s="89" t="s">
        <v>18</v>
      </c>
      <c r="H8" s="89"/>
      <c r="I8" s="89"/>
      <c r="J8" s="89"/>
      <c r="K8" s="89"/>
      <c r="L8" s="166"/>
      <c r="M8" s="100" t="s">
        <v>144</v>
      </c>
      <c r="N8" s="166"/>
      <c r="O8" s="167"/>
    </row>
    <row r="9" spans="1:15" ht="27" customHeight="1">
      <c r="A9" s="65"/>
      <c r="B9" s="173"/>
      <c r="C9" s="50" t="s">
        <v>16</v>
      </c>
      <c r="D9" s="50"/>
      <c r="E9" s="50" t="s">
        <v>114</v>
      </c>
      <c r="F9" s="166"/>
      <c r="G9" s="89" t="s">
        <v>123</v>
      </c>
      <c r="H9" s="89"/>
      <c r="I9" s="89"/>
      <c r="J9" s="50"/>
      <c r="K9" s="50"/>
      <c r="L9" s="166"/>
      <c r="M9" s="50" t="s">
        <v>129</v>
      </c>
      <c r="N9" s="166"/>
      <c r="O9" s="49" t="s">
        <v>19</v>
      </c>
    </row>
    <row r="10" spans="1:15" ht="27" customHeight="1">
      <c r="A10" s="65"/>
      <c r="B10" s="173"/>
      <c r="C10" s="50" t="s">
        <v>112</v>
      </c>
      <c r="D10" s="50"/>
      <c r="E10" s="50" t="s">
        <v>115</v>
      </c>
      <c r="F10" s="166"/>
      <c r="G10" s="87" t="s">
        <v>124</v>
      </c>
      <c r="H10" s="50"/>
      <c r="I10" s="87" t="s">
        <v>17</v>
      </c>
      <c r="J10" s="50"/>
      <c r="K10" s="50" t="s">
        <v>126</v>
      </c>
      <c r="L10" s="166"/>
      <c r="M10" s="50" t="s">
        <v>131</v>
      </c>
      <c r="N10" s="166"/>
      <c r="O10" s="167"/>
    </row>
    <row r="11" spans="1:15" ht="27" customHeight="1">
      <c r="A11" s="65"/>
      <c r="B11" s="65" t="s">
        <v>2</v>
      </c>
      <c r="C11" s="47" t="s">
        <v>113</v>
      </c>
      <c r="D11" s="47"/>
      <c r="E11" s="47" t="s">
        <v>20</v>
      </c>
      <c r="F11" s="168"/>
      <c r="G11" s="88" t="s">
        <v>125</v>
      </c>
      <c r="H11" s="47"/>
      <c r="I11" s="47"/>
      <c r="J11" s="47"/>
      <c r="K11" s="47" t="s">
        <v>128</v>
      </c>
      <c r="L11" s="168"/>
      <c r="M11" s="47" t="s">
        <v>130</v>
      </c>
      <c r="N11" s="168"/>
      <c r="O11" s="169"/>
    </row>
    <row r="12" spans="2:15" ht="10.5" customHeight="1">
      <c r="B12" s="174"/>
      <c r="C12" s="66"/>
      <c r="D12" s="66"/>
      <c r="E12" s="66"/>
      <c r="F12" s="31"/>
      <c r="G12" s="66"/>
      <c r="H12" s="92"/>
      <c r="I12" s="66"/>
      <c r="J12" s="92"/>
      <c r="K12" s="60"/>
      <c r="L12" s="92"/>
      <c r="M12" s="66"/>
      <c r="N12" s="60"/>
      <c r="O12" s="60"/>
    </row>
    <row r="13" spans="1:15" ht="27" customHeight="1">
      <c r="A13" s="66" t="s">
        <v>227</v>
      </c>
      <c r="B13" s="173"/>
      <c r="C13" s="32">
        <v>494034300</v>
      </c>
      <c r="D13" s="32"/>
      <c r="E13" s="32">
        <v>1041357580</v>
      </c>
      <c r="F13" s="32"/>
      <c r="G13" s="32">
        <v>80000000</v>
      </c>
      <c r="H13" s="32"/>
      <c r="I13" s="32">
        <v>280000000</v>
      </c>
      <c r="J13" s="32"/>
      <c r="K13" s="32">
        <v>4726113402.37</v>
      </c>
      <c r="L13" s="32"/>
      <c r="M13" s="32">
        <v>1713840909.51</v>
      </c>
      <c r="N13" s="32"/>
      <c r="O13" s="32">
        <f>SUM(C13:M13)</f>
        <v>8335346191.88</v>
      </c>
    </row>
    <row r="14" spans="1:15" ht="27" customHeight="1">
      <c r="A14" s="66" t="s">
        <v>216</v>
      </c>
      <c r="B14" s="291">
        <v>17.3</v>
      </c>
      <c r="C14" s="60"/>
      <c r="D14" s="92"/>
      <c r="E14" s="60"/>
      <c r="F14" s="92"/>
      <c r="G14" s="60"/>
      <c r="H14" s="93"/>
      <c r="I14" s="60"/>
      <c r="J14" s="93"/>
      <c r="K14" s="273">
        <v>-113627889</v>
      </c>
      <c r="L14" s="93"/>
      <c r="M14" s="60"/>
      <c r="N14" s="93"/>
      <c r="O14" s="273">
        <f>SUM(C14:M14)</f>
        <v>-113627889</v>
      </c>
    </row>
    <row r="15" spans="1:15" ht="27" customHeight="1">
      <c r="A15" s="66" t="s">
        <v>250</v>
      </c>
      <c r="B15" s="173"/>
      <c r="C15" s="60"/>
      <c r="D15" s="92"/>
      <c r="E15" s="60"/>
      <c r="F15" s="92"/>
      <c r="G15" s="60"/>
      <c r="H15" s="93"/>
      <c r="I15" s="60"/>
      <c r="J15" s="93"/>
      <c r="K15" s="60"/>
      <c r="L15" s="93"/>
      <c r="M15" s="137"/>
      <c r="N15" s="93"/>
      <c r="O15" s="93"/>
    </row>
    <row r="16" spans="1:15" ht="27" customHeight="1">
      <c r="A16" s="125" t="s">
        <v>272</v>
      </c>
      <c r="B16" s="173"/>
      <c r="C16" s="60"/>
      <c r="D16" s="92"/>
      <c r="E16" s="60"/>
      <c r="F16" s="92"/>
      <c r="G16" s="60"/>
      <c r="H16" s="93"/>
      <c r="I16" s="60"/>
      <c r="J16" s="93"/>
      <c r="K16" s="221">
        <f>PL12M!K47</f>
        <v>623003501.8799999</v>
      </c>
      <c r="L16" s="93"/>
      <c r="M16" s="137"/>
      <c r="N16" s="93"/>
      <c r="O16" s="32">
        <f>SUM(C16:M16)</f>
        <v>623003501.8799999</v>
      </c>
    </row>
    <row r="17" spans="1:15" ht="27" customHeight="1">
      <c r="A17" s="125" t="s">
        <v>174</v>
      </c>
      <c r="J17" s="93"/>
      <c r="K17" s="221">
        <f>PL12M!K71</f>
        <v>12954624.8</v>
      </c>
      <c r="M17" s="137">
        <f>PL12M!K64</f>
        <v>-143160031.2</v>
      </c>
      <c r="O17" s="274">
        <f>SUM(C17:M17)</f>
        <v>-130205406.39999999</v>
      </c>
    </row>
    <row r="18" spans="1:15" ht="27" customHeight="1" thickBot="1">
      <c r="A18" s="66" t="s">
        <v>251</v>
      </c>
      <c r="B18" s="173"/>
      <c r="C18" s="277">
        <f>SUM(C13:C17)</f>
        <v>494034300</v>
      </c>
      <c r="D18" s="222"/>
      <c r="E18" s="277">
        <f>SUM(E13:E17)</f>
        <v>1041357580</v>
      </c>
      <c r="F18" s="222"/>
      <c r="G18" s="277">
        <f>SUM(G13:G17)</f>
        <v>80000000</v>
      </c>
      <c r="H18" s="223"/>
      <c r="I18" s="277">
        <f>SUM(I13:I17)</f>
        <v>280000000</v>
      </c>
      <c r="J18" s="223"/>
      <c r="K18" s="277">
        <f>SUM(K13:K17)</f>
        <v>5248443640.05</v>
      </c>
      <c r="L18" s="223"/>
      <c r="M18" s="277">
        <f>SUM(M13:M17)</f>
        <v>1570680878.31</v>
      </c>
      <c r="N18" s="223"/>
      <c r="O18" s="277">
        <f>SUM(O13:O17)</f>
        <v>8714516398.36</v>
      </c>
    </row>
    <row r="19" spans="1:15" ht="9" customHeight="1" thickTop="1">
      <c r="A19" s="66"/>
      <c r="B19" s="173"/>
      <c r="C19" s="92"/>
      <c r="D19" s="92"/>
      <c r="E19" s="92"/>
      <c r="F19" s="92"/>
      <c r="G19" s="92"/>
      <c r="H19" s="93"/>
      <c r="I19" s="92"/>
      <c r="J19" s="93"/>
      <c r="K19" s="92"/>
      <c r="L19" s="93"/>
      <c r="M19" s="92"/>
      <c r="N19" s="93"/>
      <c r="O19" s="92"/>
    </row>
    <row r="20" spans="1:15" ht="27" customHeight="1">
      <c r="A20" s="66" t="s">
        <v>228</v>
      </c>
      <c r="B20" s="173"/>
      <c r="C20" s="32">
        <v>494034300</v>
      </c>
      <c r="D20" s="92"/>
      <c r="E20" s="32">
        <v>1041357580</v>
      </c>
      <c r="F20" s="32"/>
      <c r="G20" s="32">
        <v>80000000</v>
      </c>
      <c r="H20" s="32"/>
      <c r="I20" s="32">
        <v>280000000</v>
      </c>
      <c r="J20" s="32"/>
      <c r="K20" s="32">
        <v>5248443640.05</v>
      </c>
      <c r="L20" s="32"/>
      <c r="M20" s="32">
        <v>1570680878.31</v>
      </c>
      <c r="N20" s="32"/>
      <c r="O20" s="32">
        <f>SUM(C20:M20)</f>
        <v>8714516398.36</v>
      </c>
    </row>
    <row r="21" spans="1:15" ht="27" customHeight="1">
      <c r="A21" s="66" t="s">
        <v>216</v>
      </c>
      <c r="B21" s="172" t="s">
        <v>270</v>
      </c>
      <c r="C21" s="60"/>
      <c r="D21" s="92"/>
      <c r="E21" s="60"/>
      <c r="F21" s="92"/>
      <c r="G21" s="60"/>
      <c r="H21" s="93"/>
      <c r="I21" s="60"/>
      <c r="J21" s="93"/>
      <c r="K21" s="273">
        <v>-163031319</v>
      </c>
      <c r="L21" s="93"/>
      <c r="M21" s="60"/>
      <c r="N21" s="93"/>
      <c r="O21" s="273">
        <f>SUM(C21:M21)</f>
        <v>-163031319</v>
      </c>
    </row>
    <row r="22" spans="1:15" ht="27" customHeight="1">
      <c r="A22" s="66" t="s">
        <v>249</v>
      </c>
      <c r="B22" s="173"/>
      <c r="C22" s="219"/>
      <c r="D22" s="219"/>
      <c r="E22" s="219"/>
      <c r="F22" s="219"/>
      <c r="G22" s="219"/>
      <c r="H22" s="220"/>
      <c r="I22" s="219"/>
      <c r="J22" s="220"/>
      <c r="K22" s="219"/>
      <c r="L22" s="220"/>
      <c r="M22" s="288"/>
      <c r="N22" s="220"/>
      <c r="O22" s="220"/>
    </row>
    <row r="23" spans="1:15" ht="27" customHeight="1">
      <c r="A23" s="125" t="s">
        <v>272</v>
      </c>
      <c r="B23" s="173"/>
      <c r="C23" s="222"/>
      <c r="D23" s="222"/>
      <c r="E23" s="222"/>
      <c r="F23" s="222"/>
      <c r="G23" s="222"/>
      <c r="H23" s="223"/>
      <c r="I23" s="222"/>
      <c r="J23" s="223"/>
      <c r="K23" s="32">
        <f>PL12M!I47</f>
        <v>794488168.2200006</v>
      </c>
      <c r="L23" s="32"/>
      <c r="M23" s="32"/>
      <c r="N23" s="32"/>
      <c r="O23" s="32">
        <f>SUM(C23:M23)</f>
        <v>794488168.2200006</v>
      </c>
    </row>
    <row r="24" spans="1:15" ht="27" customHeight="1">
      <c r="A24" s="125" t="s">
        <v>174</v>
      </c>
      <c r="C24" s="289"/>
      <c r="D24" s="289"/>
      <c r="E24" s="289"/>
      <c r="F24" s="289"/>
      <c r="G24" s="289"/>
      <c r="H24" s="289"/>
      <c r="I24" s="289"/>
      <c r="J24" s="223"/>
      <c r="K24" s="289">
        <f>PL12M!I71</f>
        <v>-3777900.8</v>
      </c>
      <c r="L24" s="289"/>
      <c r="M24" s="224">
        <f>PL12M!I64</f>
        <v>239995467.7</v>
      </c>
      <c r="N24" s="225"/>
      <c r="O24" s="278">
        <f>SUM(C24:M24)</f>
        <v>236217566.89999998</v>
      </c>
    </row>
    <row r="25" spans="1:15" ht="27" customHeight="1" thickBot="1">
      <c r="A25" s="66" t="s">
        <v>248</v>
      </c>
      <c r="B25" s="173"/>
      <c r="C25" s="277">
        <f>SUM(C20:C24)</f>
        <v>494034300</v>
      </c>
      <c r="D25" s="222"/>
      <c r="E25" s="277">
        <f>SUM(E20:E24)</f>
        <v>1041357580</v>
      </c>
      <c r="F25" s="222"/>
      <c r="G25" s="277">
        <f>SUM(G20:G24)</f>
        <v>80000000</v>
      </c>
      <c r="H25" s="223"/>
      <c r="I25" s="277">
        <f>SUM(I20:I24)</f>
        <v>280000000</v>
      </c>
      <c r="J25" s="223"/>
      <c r="K25" s="277">
        <f>SUM(K20:K24)</f>
        <v>5876122588.47</v>
      </c>
      <c r="L25" s="223"/>
      <c r="M25" s="277">
        <f>SUM(M20:M24)</f>
        <v>1810676346.01</v>
      </c>
      <c r="N25" s="223"/>
      <c r="O25" s="277">
        <f>SUM(O20:O24)</f>
        <v>9582190814.480001</v>
      </c>
    </row>
    <row r="26" spans="1:15" ht="27" customHeight="1" thickTop="1">
      <c r="A26" s="66"/>
      <c r="B26" s="173"/>
      <c r="C26" s="222"/>
      <c r="D26" s="222"/>
      <c r="E26" s="222"/>
      <c r="F26" s="222"/>
      <c r="G26" s="222"/>
      <c r="H26" s="223"/>
      <c r="I26" s="222"/>
      <c r="J26" s="223"/>
      <c r="K26" s="222"/>
      <c r="L26" s="223"/>
      <c r="M26" s="222"/>
      <c r="N26" s="223"/>
      <c r="O26" s="222"/>
    </row>
    <row r="27" spans="1:15" ht="27" customHeight="1">
      <c r="A27" s="66"/>
      <c r="B27" s="173"/>
      <c r="C27" s="222"/>
      <c r="D27" s="222"/>
      <c r="E27" s="222"/>
      <c r="F27" s="222"/>
      <c r="G27" s="222"/>
      <c r="H27" s="223"/>
      <c r="I27" s="222"/>
      <c r="J27" s="223"/>
      <c r="K27" s="222"/>
      <c r="L27" s="223"/>
      <c r="M27" s="222"/>
      <c r="N27" s="223"/>
      <c r="O27" s="222"/>
    </row>
    <row r="28" spans="1:15" ht="27" customHeight="1">
      <c r="A28" s="66" t="s">
        <v>5</v>
      </c>
      <c r="B28" s="66"/>
      <c r="C28" s="136"/>
      <c r="D28" s="136"/>
      <c r="E28" s="136"/>
      <c r="F28" s="136"/>
      <c r="G28" s="136"/>
      <c r="H28" s="136"/>
      <c r="I28" s="136"/>
      <c r="J28" s="93"/>
      <c r="K28" s="136"/>
      <c r="L28" s="136"/>
      <c r="M28" s="136"/>
      <c r="N28" s="136"/>
      <c r="O28" s="136"/>
    </row>
    <row r="29" spans="1:15" ht="27" customHeight="1">
      <c r="A29" s="66"/>
      <c r="B29" s="66"/>
      <c r="C29" s="136"/>
      <c r="D29" s="136"/>
      <c r="E29" s="136"/>
      <c r="F29" s="136"/>
      <c r="G29" s="136"/>
      <c r="H29" s="136"/>
      <c r="I29" s="136"/>
      <c r="J29" s="93"/>
      <c r="K29" s="136"/>
      <c r="L29" s="136"/>
      <c r="M29" s="136"/>
      <c r="N29" s="136"/>
      <c r="O29" s="136"/>
    </row>
    <row r="30" spans="1:15" ht="23.25">
      <c r="A30" s="66"/>
      <c r="B30" s="66"/>
      <c r="C30" s="136"/>
      <c r="D30" s="136"/>
      <c r="E30" s="136"/>
      <c r="F30" s="93"/>
      <c r="H30" s="170"/>
      <c r="J30" s="93"/>
      <c r="M30" s="136"/>
      <c r="O30" s="171"/>
    </row>
    <row r="31" spans="1:19" s="52" customFormat="1" ht="27" customHeight="1">
      <c r="A31" s="96" t="s">
        <v>172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62"/>
      <c r="M31" s="63"/>
      <c r="N31" s="63"/>
      <c r="O31" s="63"/>
      <c r="P31" s="49"/>
      <c r="Q31" s="87"/>
      <c r="R31" s="87"/>
      <c r="S31" s="87"/>
    </row>
    <row r="32" spans="1:19" s="53" customFormat="1" ht="27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62"/>
      <c r="M32" s="63"/>
      <c r="N32" s="63"/>
      <c r="O32" s="61"/>
      <c r="P32" s="176"/>
      <c r="Q32" s="176"/>
      <c r="R32" s="176"/>
      <c r="S32" s="87"/>
    </row>
  </sheetData>
  <sheetProtection/>
  <printOptions/>
  <pageMargins left="0.8267716535433072" right="0.1968503937007874" top="0.5511811023622047" bottom="0.15748031496062992" header="0.2362204724409449" footer="0.28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workbookViewId="0" topLeftCell="A69">
      <selection activeCell="A5" sqref="A4:A5"/>
    </sheetView>
  </sheetViews>
  <sheetFormatPr defaultColWidth="9.140625" defaultRowHeight="24" customHeight="1"/>
  <cols>
    <col min="1" max="1" width="61.57421875" style="54" customWidth="1"/>
    <col min="2" max="2" width="18.00390625" style="211" customWidth="1"/>
    <col min="3" max="3" width="0.85546875" style="54" customWidth="1"/>
    <col min="4" max="4" width="18.00390625" style="212" customWidth="1"/>
    <col min="5" max="5" width="0.85546875" style="53" customWidth="1"/>
    <col min="6" max="6" width="18.00390625" style="211" customWidth="1"/>
    <col min="7" max="7" width="0.9921875" style="54" customWidth="1"/>
    <col min="8" max="8" width="18.00390625" style="212" customWidth="1"/>
    <col min="9" max="9" width="1.57421875" style="53" customWidth="1"/>
    <col min="10" max="10" width="19.28125" style="53" customWidth="1"/>
    <col min="11" max="11" width="13.8515625" style="53" bestFit="1" customWidth="1"/>
    <col min="12" max="16384" width="9.140625" style="53" customWidth="1"/>
  </cols>
  <sheetData>
    <row r="1" spans="1:8" s="269" customFormat="1" ht="24" customHeight="1">
      <c r="A1" s="267" t="s">
        <v>0</v>
      </c>
      <c r="B1" s="268"/>
      <c r="C1" s="268"/>
      <c r="D1" s="268"/>
      <c r="E1" s="268"/>
      <c r="F1" s="268"/>
      <c r="G1" s="268"/>
      <c r="H1" s="268"/>
    </row>
    <row r="2" spans="1:8" s="269" customFormat="1" ht="24" customHeight="1">
      <c r="A2" s="267" t="s">
        <v>84</v>
      </c>
      <c r="B2" s="268"/>
      <c r="C2" s="268"/>
      <c r="D2" s="268"/>
      <c r="E2" s="268"/>
      <c r="F2" s="268"/>
      <c r="G2" s="268"/>
      <c r="H2" s="268"/>
    </row>
    <row r="3" spans="1:8" s="269" customFormat="1" ht="24" customHeight="1">
      <c r="A3" s="267" t="s">
        <v>252</v>
      </c>
      <c r="B3" s="268"/>
      <c r="C3" s="268"/>
      <c r="D3" s="268"/>
      <c r="E3" s="268"/>
      <c r="F3" s="268"/>
      <c r="G3" s="268"/>
      <c r="H3" s="268"/>
    </row>
    <row r="4" spans="1:8" s="269" customFormat="1" ht="24" customHeight="1">
      <c r="A4" s="267" t="s">
        <v>166</v>
      </c>
      <c r="B4" s="268"/>
      <c r="C4" s="268"/>
      <c r="D4" s="268"/>
      <c r="E4" s="268"/>
      <c r="F4" s="268"/>
      <c r="G4" s="268"/>
      <c r="H4" s="268"/>
    </row>
    <row r="5" spans="1:8" ht="24" customHeight="1">
      <c r="A5" s="55"/>
      <c r="B5" s="127"/>
      <c r="C5" s="127"/>
      <c r="D5" s="127"/>
      <c r="E5" s="128"/>
      <c r="F5" s="127"/>
      <c r="G5" s="127"/>
      <c r="H5" s="129" t="s">
        <v>86</v>
      </c>
    </row>
    <row r="6" spans="1:8" ht="24" customHeight="1">
      <c r="A6" s="55"/>
      <c r="B6" s="130"/>
      <c r="C6" s="130"/>
      <c r="D6" s="131" t="s">
        <v>85</v>
      </c>
      <c r="E6" s="132"/>
      <c r="F6" s="295" t="s">
        <v>50</v>
      </c>
      <c r="G6" s="295"/>
      <c r="H6" s="295"/>
    </row>
    <row r="7" spans="1:8" ht="24" customHeight="1">
      <c r="A7" s="56"/>
      <c r="B7" s="133" t="s">
        <v>214</v>
      </c>
      <c r="C7" s="134"/>
      <c r="D7" s="133" t="s">
        <v>193</v>
      </c>
      <c r="E7" s="33"/>
      <c r="F7" s="133" t="s">
        <v>214</v>
      </c>
      <c r="G7" s="134"/>
      <c r="H7" s="133" t="s">
        <v>193</v>
      </c>
    </row>
    <row r="8" spans="1:8" ht="24" customHeight="1">
      <c r="A8" s="57" t="s">
        <v>21</v>
      </c>
      <c r="B8" s="186"/>
      <c r="C8" s="187"/>
      <c r="D8" s="186"/>
      <c r="F8" s="186"/>
      <c r="G8" s="187"/>
      <c r="H8" s="188"/>
    </row>
    <row r="9" spans="1:8" ht="24" customHeight="1">
      <c r="A9" s="57" t="s">
        <v>229</v>
      </c>
      <c r="B9" s="189">
        <f>PL12M!E45</f>
        <v>1557977892.2899995</v>
      </c>
      <c r="C9" s="189"/>
      <c r="D9" s="189">
        <f>PL12M!G45</f>
        <v>1308466299.5299997</v>
      </c>
      <c r="E9" s="190"/>
      <c r="F9" s="189">
        <f>PL12M!I45</f>
        <v>806821032.0900006</v>
      </c>
      <c r="G9" s="189"/>
      <c r="H9" s="189">
        <f>PL12M!K45</f>
        <v>607982054.5999999</v>
      </c>
    </row>
    <row r="10" spans="1:8" ht="24" customHeight="1">
      <c r="A10" s="57" t="s">
        <v>49</v>
      </c>
      <c r="B10" s="189"/>
      <c r="C10" s="189"/>
      <c r="D10" s="189"/>
      <c r="E10" s="190"/>
      <c r="F10" s="189"/>
      <c r="G10" s="189"/>
      <c r="H10" s="189"/>
    </row>
    <row r="11" spans="1:8" ht="24" customHeight="1">
      <c r="A11" s="57" t="s">
        <v>48</v>
      </c>
      <c r="B11" s="191"/>
      <c r="C11" s="189"/>
      <c r="E11" s="190"/>
      <c r="F11" s="191"/>
      <c r="G11" s="189"/>
      <c r="H11" s="191"/>
    </row>
    <row r="12" spans="1:8" ht="24" customHeight="1">
      <c r="A12" s="57" t="s">
        <v>22</v>
      </c>
      <c r="B12" s="191">
        <v>179722829.68</v>
      </c>
      <c r="C12" s="189"/>
      <c r="D12" s="191">
        <v>172677195.98</v>
      </c>
      <c r="E12" s="190"/>
      <c r="F12" s="191">
        <v>179722829.68</v>
      </c>
      <c r="G12" s="189"/>
      <c r="H12" s="191">
        <v>172677195.98</v>
      </c>
    </row>
    <row r="13" spans="1:8" ht="24" customHeight="1">
      <c r="A13" s="57" t="s">
        <v>102</v>
      </c>
      <c r="B13" s="191">
        <v>43771256.92</v>
      </c>
      <c r="C13" s="189"/>
      <c r="D13" s="191">
        <v>46689211.75</v>
      </c>
      <c r="E13" s="190"/>
      <c r="F13" s="191">
        <v>43771256.92</v>
      </c>
      <c r="G13" s="189"/>
      <c r="H13" s="191">
        <v>46689211.75</v>
      </c>
    </row>
    <row r="14" spans="1:8" ht="24" customHeight="1">
      <c r="A14" s="57" t="s">
        <v>212</v>
      </c>
      <c r="B14" s="280"/>
      <c r="C14" s="53"/>
      <c r="D14" s="191"/>
      <c r="F14" s="280"/>
      <c r="G14" s="53"/>
      <c r="H14" s="53"/>
    </row>
    <row r="15" spans="1:8" ht="24" customHeight="1">
      <c r="A15" s="57" t="s">
        <v>213</v>
      </c>
      <c r="B15" s="191">
        <v>-4722376</v>
      </c>
      <c r="C15" s="189"/>
      <c r="D15" s="191">
        <v>16193281</v>
      </c>
      <c r="E15" s="190"/>
      <c r="F15" s="191">
        <v>-4722376</v>
      </c>
      <c r="G15" s="189"/>
      <c r="H15" s="191">
        <v>16193281</v>
      </c>
    </row>
    <row r="16" spans="1:8" ht="24" customHeight="1">
      <c r="A16" s="57" t="s">
        <v>23</v>
      </c>
      <c r="B16" s="191">
        <v>-1318828885.87</v>
      </c>
      <c r="C16" s="189"/>
      <c r="D16" s="191">
        <v>-1264082801.66</v>
      </c>
      <c r="E16" s="190"/>
      <c r="F16" s="191">
        <v>0</v>
      </c>
      <c r="G16" s="189"/>
      <c r="H16" s="191">
        <v>0</v>
      </c>
    </row>
    <row r="17" spans="1:8" ht="24" customHeight="1">
      <c r="A17" s="57" t="s">
        <v>24</v>
      </c>
      <c r="B17" s="191">
        <v>51287284.35</v>
      </c>
      <c r="C17" s="189"/>
      <c r="D17" s="191">
        <v>77536386.98</v>
      </c>
      <c r="E17" s="190"/>
      <c r="F17" s="191">
        <v>0</v>
      </c>
      <c r="G17" s="189"/>
      <c r="H17" s="191">
        <v>0</v>
      </c>
    </row>
    <row r="18" spans="1:8" ht="24" customHeight="1">
      <c r="A18" s="57" t="s">
        <v>25</v>
      </c>
      <c r="B18" s="191">
        <v>509315600.3</v>
      </c>
      <c r="C18" s="189"/>
      <c r="D18" s="191">
        <v>518063984</v>
      </c>
      <c r="E18" s="190"/>
      <c r="F18" s="191">
        <v>0</v>
      </c>
      <c r="G18" s="189"/>
      <c r="H18" s="191">
        <v>0</v>
      </c>
    </row>
    <row r="19" spans="1:8" ht="24" customHeight="1">
      <c r="A19" s="57" t="s">
        <v>235</v>
      </c>
      <c r="B19" s="191">
        <v>-21000000</v>
      </c>
      <c r="C19" s="189"/>
      <c r="D19" s="191">
        <v>-3242209.46</v>
      </c>
      <c r="E19" s="190"/>
      <c r="F19" s="191">
        <v>-26250000</v>
      </c>
      <c r="G19" s="189"/>
      <c r="H19" s="191">
        <v>-3242209.46</v>
      </c>
    </row>
    <row r="20" spans="1:8" ht="24" customHeight="1">
      <c r="A20" s="57" t="s">
        <v>257</v>
      </c>
      <c r="B20" s="191"/>
      <c r="C20" s="189"/>
      <c r="D20" s="191"/>
      <c r="E20" s="190"/>
      <c r="F20" s="191"/>
      <c r="G20" s="189"/>
      <c r="H20" s="191"/>
    </row>
    <row r="21" spans="1:8" ht="24" customHeight="1">
      <c r="A21" s="57" t="s">
        <v>258</v>
      </c>
      <c r="B21" s="191">
        <v>0</v>
      </c>
      <c r="C21" s="189"/>
      <c r="D21" s="191">
        <v>-56728971.88</v>
      </c>
      <c r="E21" s="190"/>
      <c r="F21" s="191">
        <v>0</v>
      </c>
      <c r="G21" s="189"/>
      <c r="H21" s="191">
        <v>-56728971.88</v>
      </c>
    </row>
    <row r="22" spans="1:8" ht="24" customHeight="1">
      <c r="A22" s="57" t="s">
        <v>259</v>
      </c>
      <c r="B22" s="191">
        <v>0</v>
      </c>
      <c r="C22" s="189"/>
      <c r="D22" s="191">
        <v>-8349863</v>
      </c>
      <c r="E22" s="190"/>
      <c r="F22" s="191">
        <v>0</v>
      </c>
      <c r="G22" s="189"/>
      <c r="H22" s="191">
        <v>-8349863</v>
      </c>
    </row>
    <row r="23" spans="1:8" ht="24" customHeight="1">
      <c r="A23" s="57" t="s">
        <v>236</v>
      </c>
      <c r="B23" s="191">
        <v>38622851.42</v>
      </c>
      <c r="C23" s="189"/>
      <c r="D23" s="191">
        <v>85821207.75</v>
      </c>
      <c r="E23" s="190"/>
      <c r="F23" s="191">
        <v>38622851.42</v>
      </c>
      <c r="G23" s="189"/>
      <c r="H23" s="191">
        <v>117823022</v>
      </c>
    </row>
    <row r="24" spans="1:8" ht="24" customHeight="1">
      <c r="A24" s="57" t="s">
        <v>262</v>
      </c>
      <c r="B24" s="191">
        <v>0</v>
      </c>
      <c r="C24" s="189"/>
      <c r="D24" s="191">
        <v>8939741.82</v>
      </c>
      <c r="E24" s="190"/>
      <c r="F24" s="191">
        <v>0</v>
      </c>
      <c r="G24" s="189"/>
      <c r="H24" s="191">
        <v>8939741.82</v>
      </c>
    </row>
    <row r="25" spans="1:8" ht="24" customHeight="1">
      <c r="A25" s="54" t="s">
        <v>234</v>
      </c>
      <c r="B25" s="191">
        <v>4921273.12</v>
      </c>
      <c r="C25" s="192"/>
      <c r="D25" s="191">
        <v>-6421439.5</v>
      </c>
      <c r="E25" s="190"/>
      <c r="F25" s="191">
        <v>4921273.12</v>
      </c>
      <c r="G25" s="192"/>
      <c r="H25" s="191">
        <v>-6421439.5</v>
      </c>
    </row>
    <row r="26" spans="1:8" ht="24" customHeight="1">
      <c r="A26" s="54" t="s">
        <v>221</v>
      </c>
      <c r="B26" s="191">
        <v>1819141.02</v>
      </c>
      <c r="C26" s="192"/>
      <c r="D26" s="191">
        <v>0</v>
      </c>
      <c r="E26" s="190"/>
      <c r="F26" s="191">
        <v>0</v>
      </c>
      <c r="G26" s="192"/>
      <c r="H26" s="191">
        <v>0</v>
      </c>
    </row>
    <row r="27" spans="1:8" ht="24" customHeight="1">
      <c r="A27" s="54" t="s">
        <v>209</v>
      </c>
      <c r="B27" s="191">
        <v>-4202676.67</v>
      </c>
      <c r="C27" s="189"/>
      <c r="D27" s="191">
        <v>-56305.41</v>
      </c>
      <c r="E27" s="190"/>
      <c r="F27" s="191">
        <v>-4202676.67</v>
      </c>
      <c r="G27" s="192"/>
      <c r="H27" s="191">
        <v>-56305.41</v>
      </c>
    </row>
    <row r="28" spans="1:8" ht="24" customHeight="1">
      <c r="A28" s="54" t="s">
        <v>220</v>
      </c>
      <c r="B28" s="191">
        <f>462061.11-234081.89</f>
        <v>227979.21999999997</v>
      </c>
      <c r="C28" s="189"/>
      <c r="D28" s="191">
        <v>3502918.81</v>
      </c>
      <c r="E28" s="190"/>
      <c r="F28" s="191">
        <f>462061.11-234081.89</f>
        <v>227979.21999999997</v>
      </c>
      <c r="G28" s="192"/>
      <c r="H28" s="191">
        <v>3502918.81</v>
      </c>
    </row>
    <row r="29" spans="1:8" ht="24" customHeight="1">
      <c r="A29" s="54" t="s">
        <v>271</v>
      </c>
      <c r="B29" s="266">
        <f>-1489331.9+234081.89</f>
        <v>-1255250.0099999998</v>
      </c>
      <c r="C29" s="189"/>
      <c r="D29" s="266">
        <v>0</v>
      </c>
      <c r="E29" s="190"/>
      <c r="F29" s="266">
        <f>-1489331.9+234081.89</f>
        <v>-1255250.0099999998</v>
      </c>
      <c r="G29" s="192"/>
      <c r="H29" s="266">
        <v>0</v>
      </c>
    </row>
    <row r="30" spans="1:8" ht="24" customHeight="1">
      <c r="A30" s="57" t="s">
        <v>26</v>
      </c>
      <c r="B30" s="190"/>
      <c r="C30" s="190"/>
      <c r="D30" s="190"/>
      <c r="E30" s="193"/>
      <c r="F30" s="190"/>
      <c r="G30" s="190"/>
      <c r="H30" s="190"/>
    </row>
    <row r="31" spans="1:8" ht="24" customHeight="1">
      <c r="A31" s="57" t="s">
        <v>27</v>
      </c>
      <c r="B31" s="194">
        <f>SUM(B9:B29)</f>
        <v>1037656919.7699999</v>
      </c>
      <c r="C31" s="194"/>
      <c r="D31" s="194">
        <f>SUM(D9:D29)</f>
        <v>899008636.7099997</v>
      </c>
      <c r="E31" s="190"/>
      <c r="F31" s="194">
        <f>SUM(F9:F29)</f>
        <v>1037656919.7700007</v>
      </c>
      <c r="G31" s="194"/>
      <c r="H31" s="194">
        <f>SUM(H9:H29)</f>
        <v>899008636.7099999</v>
      </c>
    </row>
    <row r="32" spans="1:8" ht="24" customHeight="1">
      <c r="A32" s="57" t="s">
        <v>28</v>
      </c>
      <c r="B32" s="194"/>
      <c r="C32" s="194"/>
      <c r="D32" s="194"/>
      <c r="E32" s="190"/>
      <c r="F32" s="194"/>
      <c r="G32" s="194"/>
      <c r="H32" s="194"/>
    </row>
    <row r="33" spans="1:8" ht="24" customHeight="1">
      <c r="A33" s="57" t="s">
        <v>29</v>
      </c>
      <c r="B33" s="191">
        <v>-208226.56</v>
      </c>
      <c r="C33" s="192"/>
      <c r="D33" s="191">
        <v>-320385.97</v>
      </c>
      <c r="E33" s="190"/>
      <c r="F33" s="191">
        <v>-208226.56</v>
      </c>
      <c r="G33" s="192"/>
      <c r="H33" s="191">
        <v>-320385.97</v>
      </c>
    </row>
    <row r="34" spans="1:8" ht="23.25" customHeight="1">
      <c r="A34" s="57" t="s">
        <v>217</v>
      </c>
      <c r="B34" s="191">
        <v>0</v>
      </c>
      <c r="C34" s="192"/>
      <c r="D34" s="191">
        <v>30000000</v>
      </c>
      <c r="E34" s="190"/>
      <c r="F34" s="191">
        <v>0</v>
      </c>
      <c r="G34" s="192"/>
      <c r="H34" s="191">
        <v>30000000</v>
      </c>
    </row>
    <row r="35" spans="1:8" ht="24" customHeight="1">
      <c r="A35" s="54" t="s">
        <v>45</v>
      </c>
      <c r="B35" s="191">
        <v>-125991.17</v>
      </c>
      <c r="C35" s="192"/>
      <c r="D35" s="191">
        <v>-100005625</v>
      </c>
      <c r="E35" s="190"/>
      <c r="F35" s="191">
        <v>-125991.17</v>
      </c>
      <c r="G35" s="192"/>
      <c r="H35" s="191">
        <v>-100005625</v>
      </c>
    </row>
    <row r="36" spans="1:8" ht="24" customHeight="1">
      <c r="A36" s="54" t="s">
        <v>39</v>
      </c>
      <c r="B36" s="191">
        <v>61858173.72</v>
      </c>
      <c r="C36" s="192"/>
      <c r="D36" s="191">
        <v>18616240.16</v>
      </c>
      <c r="E36" s="190"/>
      <c r="F36" s="191">
        <v>61858173.72</v>
      </c>
      <c r="G36" s="192"/>
      <c r="H36" s="191">
        <v>18616240.16</v>
      </c>
    </row>
    <row r="37" spans="1:8" ht="24" customHeight="1">
      <c r="A37" s="54" t="s">
        <v>149</v>
      </c>
      <c r="B37" s="191">
        <v>-946894.17</v>
      </c>
      <c r="C37" s="192"/>
      <c r="D37" s="191">
        <v>-532880.39</v>
      </c>
      <c r="E37" s="190"/>
      <c r="F37" s="191">
        <v>-946894.17</v>
      </c>
      <c r="G37" s="192"/>
      <c r="H37" s="191">
        <v>-532880.39</v>
      </c>
    </row>
    <row r="38" spans="1:8" ht="24" customHeight="1">
      <c r="A38" s="15" t="s">
        <v>163</v>
      </c>
      <c r="B38" s="191">
        <v>-8568687.03</v>
      </c>
      <c r="C38" s="192"/>
      <c r="D38" s="191">
        <v>52903008.56</v>
      </c>
      <c r="E38" s="190"/>
      <c r="F38" s="191">
        <v>-8568687.03</v>
      </c>
      <c r="G38" s="192"/>
      <c r="H38" s="191">
        <v>52903008.56</v>
      </c>
    </row>
    <row r="39" spans="1:8" ht="24" customHeight="1">
      <c r="A39" s="15" t="s">
        <v>164</v>
      </c>
      <c r="B39" s="191">
        <v>-1546618.49</v>
      </c>
      <c r="C39" s="192"/>
      <c r="D39" s="191">
        <v>2041230.14</v>
      </c>
      <c r="E39" s="190"/>
      <c r="F39" s="191">
        <v>-1546618.49</v>
      </c>
      <c r="G39" s="192"/>
      <c r="H39" s="191">
        <v>2041230.14</v>
      </c>
    </row>
    <row r="40" spans="1:8" ht="24" customHeight="1">
      <c r="A40" s="57" t="s">
        <v>44</v>
      </c>
      <c r="B40" s="191">
        <v>44065984.04</v>
      </c>
      <c r="C40" s="192"/>
      <c r="D40" s="191">
        <v>-2643.21</v>
      </c>
      <c r="E40" s="190"/>
      <c r="F40" s="191">
        <v>44065984.04</v>
      </c>
      <c r="G40" s="192"/>
      <c r="H40" s="191">
        <v>-2643.21</v>
      </c>
    </row>
    <row r="41" spans="1:8" ht="24" customHeight="1">
      <c r="A41" s="57" t="s">
        <v>30</v>
      </c>
      <c r="B41" s="191"/>
      <c r="C41" s="192"/>
      <c r="D41" s="191"/>
      <c r="E41" s="190"/>
      <c r="F41" s="191"/>
      <c r="G41" s="192"/>
      <c r="H41" s="191"/>
    </row>
    <row r="42" spans="1:8" ht="24" customHeight="1">
      <c r="A42" s="57" t="s">
        <v>165</v>
      </c>
      <c r="B42" s="189">
        <v>-80015828.49</v>
      </c>
      <c r="C42" s="189"/>
      <c r="D42" s="189">
        <v>83180383.84</v>
      </c>
      <c r="E42" s="190"/>
      <c r="F42" s="189">
        <v>-80015828.49</v>
      </c>
      <c r="G42" s="189"/>
      <c r="H42" s="189">
        <v>83180383.84</v>
      </c>
    </row>
    <row r="43" spans="1:8" ht="24" customHeight="1">
      <c r="A43" s="57" t="s">
        <v>150</v>
      </c>
      <c r="B43" s="191">
        <v>-8355446.45</v>
      </c>
      <c r="C43" s="192"/>
      <c r="D43" s="191">
        <v>-46522646.45</v>
      </c>
      <c r="E43" s="190"/>
      <c r="F43" s="191">
        <v>-8355446.45</v>
      </c>
      <c r="G43" s="192"/>
      <c r="H43" s="191">
        <v>-46522646.45</v>
      </c>
    </row>
    <row r="44" spans="1:8" ht="24" customHeight="1">
      <c r="A44" s="57" t="s">
        <v>140</v>
      </c>
      <c r="B44" s="191">
        <v>11467770.65</v>
      </c>
      <c r="C44" s="192"/>
      <c r="D44" s="191">
        <v>5609509.87</v>
      </c>
      <c r="E44" s="190"/>
      <c r="F44" s="191">
        <v>11467770.65</v>
      </c>
      <c r="G44" s="192"/>
      <c r="H44" s="191">
        <v>5609509.87</v>
      </c>
    </row>
    <row r="45" spans="1:8" ht="24" customHeight="1">
      <c r="A45" s="57" t="s">
        <v>151</v>
      </c>
      <c r="B45" s="191">
        <v>-15949043.83</v>
      </c>
      <c r="C45" s="192"/>
      <c r="D45" s="191">
        <v>-23919116</v>
      </c>
      <c r="E45" s="190"/>
      <c r="F45" s="191">
        <v>-15949043.83</v>
      </c>
      <c r="G45" s="192"/>
      <c r="H45" s="191">
        <v>-23919116</v>
      </c>
    </row>
    <row r="46" spans="1:8" ht="12" customHeight="1">
      <c r="A46" s="57"/>
      <c r="B46" s="191"/>
      <c r="C46" s="192"/>
      <c r="D46" s="191"/>
      <c r="E46" s="190"/>
      <c r="F46" s="191"/>
      <c r="G46" s="192"/>
      <c r="H46" s="191"/>
    </row>
    <row r="47" spans="1:8" ht="9" customHeight="1">
      <c r="A47" s="53"/>
      <c r="B47" s="195"/>
      <c r="C47" s="196"/>
      <c r="D47" s="195"/>
      <c r="E47" s="197"/>
      <c r="F47" s="195"/>
      <c r="G47" s="196"/>
      <c r="H47" s="195"/>
    </row>
    <row r="48" spans="1:8" ht="24" customHeight="1">
      <c r="A48" s="59" t="s">
        <v>5</v>
      </c>
      <c r="B48" s="198"/>
      <c r="C48" s="199"/>
      <c r="D48" s="200"/>
      <c r="F48" s="198"/>
      <c r="G48" s="199"/>
      <c r="H48" s="200"/>
    </row>
    <row r="49" spans="1:8" ht="6.75" customHeight="1">
      <c r="A49" s="59"/>
      <c r="B49" s="198"/>
      <c r="C49" s="199"/>
      <c r="D49" s="200"/>
      <c r="F49" s="198"/>
      <c r="G49" s="199"/>
      <c r="H49" s="200"/>
    </row>
    <row r="50" spans="1:8" ht="24" customHeight="1">
      <c r="A50" s="59"/>
      <c r="B50" s="198"/>
      <c r="C50" s="199"/>
      <c r="D50" s="200"/>
      <c r="F50" s="198"/>
      <c r="G50" s="199"/>
      <c r="H50" s="200"/>
    </row>
    <row r="51" spans="1:8" s="52" customFormat="1" ht="24" customHeight="1">
      <c r="A51" s="96" t="s">
        <v>203</v>
      </c>
      <c r="B51" s="201"/>
      <c r="C51" s="201"/>
      <c r="D51" s="201"/>
      <c r="E51" s="201"/>
      <c r="F51" s="201"/>
      <c r="G51" s="201"/>
      <c r="H51" s="201"/>
    </row>
    <row r="52" spans="1:8" s="52" customFormat="1" ht="24" customHeight="1">
      <c r="A52" s="96"/>
      <c r="B52" s="201"/>
      <c r="C52" s="201"/>
      <c r="D52" s="201"/>
      <c r="E52" s="201"/>
      <c r="F52" s="201"/>
      <c r="G52" s="201"/>
      <c r="H52" s="201"/>
    </row>
    <row r="53" spans="1:8" ht="24.75" customHeight="1">
      <c r="A53" s="296" t="s">
        <v>13</v>
      </c>
      <c r="B53" s="296"/>
      <c r="C53" s="296"/>
      <c r="D53" s="296"/>
      <c r="E53" s="296"/>
      <c r="F53" s="296"/>
      <c r="G53" s="296"/>
      <c r="H53" s="296"/>
    </row>
    <row r="54" spans="1:8" ht="24.75" customHeight="1">
      <c r="A54" s="53"/>
      <c r="B54" s="202"/>
      <c r="C54" s="58"/>
      <c r="D54" s="203"/>
      <c r="F54" s="202"/>
      <c r="G54" s="58"/>
      <c r="H54" s="203"/>
    </row>
    <row r="55" spans="1:8" s="269" customFormat="1" ht="24.75" customHeight="1">
      <c r="A55" s="267" t="s">
        <v>0</v>
      </c>
      <c r="B55" s="268"/>
      <c r="C55" s="268"/>
      <c r="D55" s="268"/>
      <c r="E55" s="268"/>
      <c r="F55" s="268"/>
      <c r="G55" s="268"/>
      <c r="H55" s="268"/>
    </row>
    <row r="56" spans="1:8" s="269" customFormat="1" ht="24.75" customHeight="1">
      <c r="A56" s="267" t="s">
        <v>175</v>
      </c>
      <c r="B56" s="267"/>
      <c r="C56" s="267"/>
      <c r="D56" s="267"/>
      <c r="E56" s="267"/>
      <c r="F56" s="267"/>
      <c r="G56" s="267"/>
      <c r="H56" s="267"/>
    </row>
    <row r="57" spans="1:8" s="269" customFormat="1" ht="24.75" customHeight="1">
      <c r="A57" s="267" t="s">
        <v>252</v>
      </c>
      <c r="B57" s="268"/>
      <c r="C57" s="268"/>
      <c r="D57" s="268"/>
      <c r="E57" s="268"/>
      <c r="F57" s="268"/>
      <c r="G57" s="268"/>
      <c r="H57" s="268"/>
    </row>
    <row r="58" spans="1:8" s="269" customFormat="1" ht="24.75" customHeight="1">
      <c r="A58" s="267" t="s">
        <v>166</v>
      </c>
      <c r="B58" s="268"/>
      <c r="C58" s="268"/>
      <c r="D58" s="268"/>
      <c r="E58" s="268"/>
      <c r="F58" s="268"/>
      <c r="G58" s="268"/>
      <c r="H58" s="268"/>
    </row>
    <row r="59" spans="1:8" ht="24.75" customHeight="1">
      <c r="A59" s="55"/>
      <c r="B59" s="127"/>
      <c r="C59" s="127"/>
      <c r="D59" s="127"/>
      <c r="E59" s="128"/>
      <c r="F59" s="127"/>
      <c r="G59" s="127"/>
      <c r="H59" s="129" t="s">
        <v>86</v>
      </c>
    </row>
    <row r="60" spans="1:8" ht="24.75" customHeight="1">
      <c r="A60" s="55"/>
      <c r="B60" s="130"/>
      <c r="C60" s="130"/>
      <c r="D60" s="131" t="s">
        <v>85</v>
      </c>
      <c r="E60" s="132"/>
      <c r="F60" s="295" t="s">
        <v>50</v>
      </c>
      <c r="G60" s="295"/>
      <c r="H60" s="295"/>
    </row>
    <row r="61" spans="1:8" ht="24.75" customHeight="1">
      <c r="A61" s="56"/>
      <c r="B61" s="133" t="s">
        <v>214</v>
      </c>
      <c r="C61" s="134"/>
      <c r="D61" s="133" t="s">
        <v>193</v>
      </c>
      <c r="E61" s="33"/>
      <c r="F61" s="133" t="s">
        <v>214</v>
      </c>
      <c r="G61" s="134"/>
      <c r="H61" s="133" t="s">
        <v>193</v>
      </c>
    </row>
    <row r="62" spans="1:8" ht="24.75" customHeight="1">
      <c r="A62" s="57" t="s">
        <v>109</v>
      </c>
      <c r="B62" s="189">
        <f>SUM(B31:B47)</f>
        <v>1039332111.9899998</v>
      </c>
      <c r="C62" s="189"/>
      <c r="D62" s="189">
        <f>SUM(D31:D47)</f>
        <v>920055712.2599996</v>
      </c>
      <c r="E62" s="190"/>
      <c r="F62" s="189">
        <f>SUM(F31:F47)</f>
        <v>1039332111.9900005</v>
      </c>
      <c r="G62" s="189"/>
      <c r="H62" s="189">
        <f>SUM(H31:H47)</f>
        <v>920055712.2599999</v>
      </c>
    </row>
    <row r="63" spans="1:8" ht="24.75" customHeight="1">
      <c r="A63" s="57" t="s">
        <v>110</v>
      </c>
      <c r="B63" s="191">
        <v>-46484188.43</v>
      </c>
      <c r="C63" s="192"/>
      <c r="D63" s="191">
        <v>-47605387.03</v>
      </c>
      <c r="E63" s="190"/>
      <c r="F63" s="191">
        <v>-46484188.43</v>
      </c>
      <c r="G63" s="192"/>
      <c r="H63" s="191">
        <v>-47605387.03</v>
      </c>
    </row>
    <row r="64" spans="1:8" ht="24.75" customHeight="1">
      <c r="A64" s="57" t="s">
        <v>111</v>
      </c>
      <c r="B64" s="266">
        <v>-21204505.5</v>
      </c>
      <c r="C64" s="192"/>
      <c r="D64" s="191">
        <v>-21000519.9</v>
      </c>
      <c r="E64" s="190"/>
      <c r="F64" s="266">
        <v>-21204505.5</v>
      </c>
      <c r="G64" s="192"/>
      <c r="H64" s="191">
        <v>-21000519.9</v>
      </c>
    </row>
    <row r="65" spans="1:8" ht="24.75" customHeight="1">
      <c r="A65" s="57" t="s">
        <v>31</v>
      </c>
      <c r="B65" s="204">
        <f>SUM(B62:B64)</f>
        <v>971643418.0599998</v>
      </c>
      <c r="C65" s="189"/>
      <c r="D65" s="204">
        <f>SUM(D62:D64)</f>
        <v>851449805.3299997</v>
      </c>
      <c r="E65" s="193"/>
      <c r="F65" s="204">
        <f>SUM(F62:F64)</f>
        <v>971643418.0600005</v>
      </c>
      <c r="G65" s="189"/>
      <c r="H65" s="204">
        <f>SUM(H62:H64)</f>
        <v>851449805.3299999</v>
      </c>
    </row>
    <row r="66" spans="1:8" ht="24.75" customHeight="1">
      <c r="A66" s="57" t="s">
        <v>32</v>
      </c>
      <c r="B66" s="205"/>
      <c r="C66" s="193"/>
      <c r="D66" s="205"/>
      <c r="E66" s="193"/>
      <c r="F66" s="205"/>
      <c r="G66" s="193"/>
      <c r="H66" s="194"/>
    </row>
    <row r="67" spans="1:8" ht="24.75" customHeight="1">
      <c r="A67" s="57" t="s">
        <v>42</v>
      </c>
      <c r="B67" s="191">
        <v>-491166212</v>
      </c>
      <c r="C67" s="192"/>
      <c r="D67" s="191">
        <v>-424984658.85</v>
      </c>
      <c r="E67" s="190"/>
      <c r="F67" s="191">
        <v>-491166212</v>
      </c>
      <c r="G67" s="192"/>
      <c r="H67" s="191">
        <v>-424984658.85</v>
      </c>
    </row>
    <row r="68" spans="1:8" ht="24.75" customHeight="1">
      <c r="A68" s="57" t="s">
        <v>141</v>
      </c>
      <c r="B68" s="191">
        <v>42351000</v>
      </c>
      <c r="C68" s="192"/>
      <c r="D68" s="191">
        <v>105911539.5</v>
      </c>
      <c r="E68" s="190"/>
      <c r="F68" s="191">
        <v>42351000</v>
      </c>
      <c r="G68" s="192"/>
      <c r="H68" s="191">
        <v>105911539.5</v>
      </c>
    </row>
    <row r="69" spans="1:8" ht="24.75" customHeight="1">
      <c r="A69" s="57" t="s">
        <v>43</v>
      </c>
      <c r="B69" s="191">
        <v>-106579911.76</v>
      </c>
      <c r="C69" s="192"/>
      <c r="D69" s="191">
        <v>-106636490.71</v>
      </c>
      <c r="E69" s="190"/>
      <c r="F69" s="191">
        <v>-106579911.76</v>
      </c>
      <c r="G69" s="192"/>
      <c r="H69" s="191">
        <v>-106636490.71</v>
      </c>
    </row>
    <row r="70" spans="1:8" ht="24.75" customHeight="1">
      <c r="A70" s="57" t="s">
        <v>118</v>
      </c>
      <c r="B70" s="191">
        <v>4236170.23</v>
      </c>
      <c r="C70" s="192"/>
      <c r="D70" s="191">
        <v>56308.41</v>
      </c>
      <c r="E70" s="190"/>
      <c r="F70" s="191">
        <v>4236170.23</v>
      </c>
      <c r="G70" s="192"/>
      <c r="H70" s="191">
        <v>56308.41</v>
      </c>
    </row>
    <row r="71" spans="1:8" ht="24.75" customHeight="1">
      <c r="A71" s="57" t="s">
        <v>142</v>
      </c>
      <c r="B71" s="266">
        <v>-450843315.39</v>
      </c>
      <c r="C71" s="192"/>
      <c r="D71" s="191">
        <v>-309124718.78</v>
      </c>
      <c r="E71" s="190"/>
      <c r="F71" s="266">
        <v>-450843315.39</v>
      </c>
      <c r="G71" s="192"/>
      <c r="H71" s="191">
        <v>-309124718.78</v>
      </c>
    </row>
    <row r="72" spans="1:8" ht="24.75" customHeight="1">
      <c r="A72" s="57" t="s">
        <v>33</v>
      </c>
      <c r="B72" s="206">
        <f>SUM(B67:B71)</f>
        <v>-1002002268.92</v>
      </c>
      <c r="C72" s="194"/>
      <c r="D72" s="206">
        <f>SUM(D67:D71)</f>
        <v>-734778020.43</v>
      </c>
      <c r="E72" s="193"/>
      <c r="F72" s="206">
        <f>SUM(F67:F71)</f>
        <v>-1002002268.92</v>
      </c>
      <c r="G72" s="194"/>
      <c r="H72" s="206">
        <f>SUM(H67:H71)</f>
        <v>-734778020.43</v>
      </c>
    </row>
    <row r="73" spans="1:8" ht="24.75" customHeight="1">
      <c r="A73" s="57" t="s">
        <v>34</v>
      </c>
      <c r="B73" s="205"/>
      <c r="C73" s="194"/>
      <c r="D73" s="205"/>
      <c r="E73" s="193"/>
      <c r="F73" s="205"/>
      <c r="G73" s="194"/>
      <c r="H73" s="205"/>
    </row>
    <row r="74" spans="1:8" ht="24.75" customHeight="1">
      <c r="A74" s="57" t="s">
        <v>35</v>
      </c>
      <c r="B74" s="193"/>
      <c r="C74" s="194"/>
      <c r="D74" s="193"/>
      <c r="E74" s="193"/>
      <c r="F74" s="193"/>
      <c r="G74" s="194"/>
      <c r="H74" s="193"/>
    </row>
    <row r="75" spans="1:8" ht="24.75" customHeight="1">
      <c r="A75" s="57" t="s">
        <v>36</v>
      </c>
      <c r="B75" s="191">
        <v>560000000</v>
      </c>
      <c r="C75" s="192"/>
      <c r="D75" s="191">
        <v>-213400000</v>
      </c>
      <c r="E75" s="190"/>
      <c r="F75" s="191">
        <v>560000000</v>
      </c>
      <c r="G75" s="192"/>
      <c r="H75" s="191">
        <v>-213400000</v>
      </c>
    </row>
    <row r="76" spans="1:8" ht="24.75" customHeight="1">
      <c r="A76" s="57" t="s">
        <v>218</v>
      </c>
      <c r="B76" s="191">
        <v>-163031319</v>
      </c>
      <c r="C76" s="192"/>
      <c r="D76" s="191">
        <v>-113627889</v>
      </c>
      <c r="E76" s="190"/>
      <c r="F76" s="191">
        <v>-163031319</v>
      </c>
      <c r="G76" s="192"/>
      <c r="H76" s="191">
        <v>-113627889</v>
      </c>
    </row>
    <row r="77" spans="1:8" ht="24.75" customHeight="1">
      <c r="A77" s="72" t="s">
        <v>117</v>
      </c>
      <c r="B77" s="266">
        <v>-600000000</v>
      </c>
      <c r="C77" s="192"/>
      <c r="D77" s="191">
        <v>466680000</v>
      </c>
      <c r="E77" s="190"/>
      <c r="F77" s="266">
        <v>-600000000</v>
      </c>
      <c r="G77" s="192"/>
      <c r="H77" s="191">
        <v>466680000</v>
      </c>
    </row>
    <row r="78" spans="1:8" ht="24.75" customHeight="1">
      <c r="A78" s="57" t="s">
        <v>37</v>
      </c>
      <c r="B78" s="206">
        <f>SUM(B75:B77)</f>
        <v>-203031319</v>
      </c>
      <c r="C78" s="194"/>
      <c r="D78" s="206">
        <f>SUM(D75:D77)</f>
        <v>139652111</v>
      </c>
      <c r="E78" s="193"/>
      <c r="F78" s="206">
        <f>SUM(F75:F77)</f>
        <v>-203031319</v>
      </c>
      <c r="G78" s="194"/>
      <c r="H78" s="206">
        <f>SUM(H75:H77)</f>
        <v>139652111</v>
      </c>
    </row>
    <row r="79" spans="1:8" ht="24.75" customHeight="1">
      <c r="A79" s="57" t="s">
        <v>38</v>
      </c>
      <c r="B79" s="205">
        <f>+B65+B72+B78</f>
        <v>-233390169.86000013</v>
      </c>
      <c r="C79" s="194"/>
      <c r="D79" s="205">
        <f>+D65+D72+D78</f>
        <v>256323895.89999974</v>
      </c>
      <c r="E79" s="193"/>
      <c r="F79" s="205">
        <f>+F65+F72+F78</f>
        <v>-233390169.85999942</v>
      </c>
      <c r="G79" s="194"/>
      <c r="H79" s="205">
        <f>+H65+H72+H78</f>
        <v>256323895.89999998</v>
      </c>
    </row>
    <row r="80" spans="1:8" ht="24.75" customHeight="1">
      <c r="A80" s="57" t="s">
        <v>273</v>
      </c>
      <c r="B80" s="207">
        <f>'BS'!F10</f>
        <v>337526130.91</v>
      </c>
      <c r="C80" s="194"/>
      <c r="D80" s="207">
        <v>81202235.01</v>
      </c>
      <c r="E80" s="193"/>
      <c r="F80" s="207">
        <f>'BS'!J10</f>
        <v>337526130.91</v>
      </c>
      <c r="G80" s="194"/>
      <c r="H80" s="207">
        <v>81202235.01</v>
      </c>
    </row>
    <row r="81" spans="1:8" ht="24.75" customHeight="1" thickBot="1">
      <c r="A81" s="57" t="s">
        <v>274</v>
      </c>
      <c r="B81" s="208">
        <f>SUM(B79:B80)</f>
        <v>104135961.0499999</v>
      </c>
      <c r="C81" s="189"/>
      <c r="D81" s="208">
        <f>SUM(D79:D80)</f>
        <v>337526130.9099997</v>
      </c>
      <c r="E81" s="193"/>
      <c r="F81" s="208">
        <f>SUM(F79:F80)</f>
        <v>104135961.05000061</v>
      </c>
      <c r="G81" s="189"/>
      <c r="H81" s="208">
        <f>SUM(H79:H80)</f>
        <v>337526130.90999997</v>
      </c>
    </row>
    <row r="82" spans="1:8" ht="24.75" customHeight="1" thickTop="1">
      <c r="A82" s="57"/>
      <c r="B82" s="209"/>
      <c r="C82" s="210"/>
      <c r="D82" s="209"/>
      <c r="F82" s="209"/>
      <c r="G82" s="210"/>
      <c r="H82" s="209"/>
    </row>
    <row r="83" spans="1:8" ht="24.75" customHeight="1">
      <c r="A83" s="57"/>
      <c r="B83" s="209"/>
      <c r="C83" s="210"/>
      <c r="D83" s="209"/>
      <c r="F83" s="209"/>
      <c r="G83" s="210"/>
      <c r="H83" s="209"/>
    </row>
    <row r="84" spans="1:8" ht="24.75" customHeight="1">
      <c r="A84" s="96"/>
      <c r="B84" s="209"/>
      <c r="C84" s="210"/>
      <c r="D84" s="209"/>
      <c r="F84" s="209"/>
      <c r="G84" s="210"/>
      <c r="H84" s="209"/>
    </row>
    <row r="85" spans="1:8" ht="24.75" customHeight="1">
      <c r="A85" s="59" t="s">
        <v>5</v>
      </c>
      <c r="B85" s="290"/>
      <c r="D85" s="211"/>
      <c r="F85" s="290"/>
      <c r="H85" s="211"/>
    </row>
    <row r="86" spans="1:8" ht="24.75" customHeight="1">
      <c r="A86" s="59"/>
      <c r="B86" s="135"/>
      <c r="D86" s="211"/>
      <c r="F86" s="135"/>
      <c r="H86" s="211"/>
    </row>
    <row r="87" spans="1:8" ht="24.75" customHeight="1">
      <c r="A87" s="59"/>
      <c r="B87" s="135"/>
      <c r="D87" s="211"/>
      <c r="F87" s="135"/>
      <c r="H87" s="211"/>
    </row>
    <row r="88" ht="24.75" customHeight="1">
      <c r="A88" s="59"/>
    </row>
    <row r="89" spans="1:8" s="52" customFormat="1" ht="24.75" customHeight="1">
      <c r="A89" s="96" t="s">
        <v>203</v>
      </c>
      <c r="B89" s="201"/>
      <c r="C89" s="201"/>
      <c r="D89" s="201"/>
      <c r="E89" s="201"/>
      <c r="F89" s="201"/>
      <c r="G89" s="201"/>
      <c r="H89" s="201"/>
    </row>
    <row r="90" spans="1:8" s="52" customFormat="1" ht="24.75" customHeight="1">
      <c r="A90" s="96"/>
      <c r="B90" s="201"/>
      <c r="C90" s="201"/>
      <c r="D90" s="201"/>
      <c r="E90" s="201"/>
      <c r="F90" s="201"/>
      <c r="G90" s="201"/>
      <c r="H90" s="201"/>
    </row>
    <row r="91" ht="24.75" customHeight="1"/>
    <row r="92" ht="24.75" customHeight="1"/>
    <row r="93" ht="24.75" customHeight="1"/>
    <row r="94" ht="24.75" customHeight="1"/>
  </sheetData>
  <sheetProtection/>
  <mergeCells count="3">
    <mergeCell ref="F6:H6"/>
    <mergeCell ref="A53:H53"/>
    <mergeCell ref="F60:H60"/>
  </mergeCells>
  <printOptions/>
  <pageMargins left="0.67" right="0" top="0.5511811023622047" bottom="0.31496062992125984" header="0.2362204724409449" footer="0.1968503937007874"/>
  <pageSetup horizontalDpi="600" verticalDpi="600" orientation="portrait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</dc:creator>
  <cp:keywords/>
  <dc:description/>
  <cp:lastModifiedBy>Windows User</cp:lastModifiedBy>
  <cp:lastPrinted>2017-02-14T10:44:42Z</cp:lastPrinted>
  <dcterms:created xsi:type="dcterms:W3CDTF">2003-01-11T05:21:36Z</dcterms:created>
  <dcterms:modified xsi:type="dcterms:W3CDTF">2017-02-14T13:15:31Z</dcterms:modified>
  <cp:category/>
  <cp:version/>
  <cp:contentType/>
  <cp:contentStatus/>
</cp:coreProperties>
</file>