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828" activeTab="0"/>
  </bookViews>
  <sheets>
    <sheet name="Note 1-12" sheetId="1" r:id="rId1"/>
    <sheet name="P13-14" sheetId="2" r:id="rId2"/>
    <sheet name="P15-16" sheetId="3" r:id="rId3"/>
    <sheet name="P17" sheetId="4" r:id="rId4"/>
    <sheet name="P18-20" sheetId="5" r:id="rId5"/>
    <sheet name="P21-24" sheetId="6" r:id="rId6"/>
    <sheet name="P25-26" sheetId="7" r:id="rId7"/>
    <sheet name="P27-29" sheetId="8" r:id="rId8"/>
    <sheet name="P30-31" sheetId="9" r:id="rId9"/>
    <sheet name="P32-37" sheetId="10" r:id="rId10"/>
    <sheet name="P38-39" sheetId="11" r:id="rId11"/>
    <sheet name="P40" sheetId="12" r:id="rId12"/>
    <sheet name="P41" sheetId="13" r:id="rId13"/>
    <sheet name="P42-43" sheetId="14" r:id="rId14"/>
    <sheet name="P44" sheetId="15" r:id="rId15"/>
    <sheet name="P45" sheetId="16" r:id="rId16"/>
    <sheet name="P46-50" sheetId="17" r:id="rId17"/>
    <sheet name="P51-61" sheetId="18" r:id="rId18"/>
    <sheet name="P62" sheetId="19" r:id="rId19"/>
    <sheet name="P63" sheetId="20" r:id="rId20"/>
    <sheet name="P64" sheetId="21" r:id="rId21"/>
    <sheet name="P65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q" localSheetId="12">'[1]MOULD'!#REF!</definedName>
    <definedName name="\q" localSheetId="13">'[1]MOULD'!#REF!</definedName>
    <definedName name="\q" localSheetId="20">'[1]MOULD'!#REF!</definedName>
    <definedName name="\q">'[1]MOULD'!#REF!</definedName>
    <definedName name="_Fill" localSheetId="12" hidden="1">#REF!</definedName>
    <definedName name="_Fill" localSheetId="13" hidden="1">#REF!</definedName>
    <definedName name="_Fill" localSheetId="20" hidden="1">#REF!</definedName>
    <definedName name="_Fill" hidden="1">#REF!</definedName>
    <definedName name="_GoBack" localSheetId="2">'P15-16'!#REF!</definedName>
    <definedName name="_Key1" localSheetId="12" hidden="1">#REF!</definedName>
    <definedName name="_Key1" localSheetId="13" hidden="1">#REF!</definedName>
    <definedName name="_Key1" localSheetId="20" hidden="1">#REF!</definedName>
    <definedName name="_Key1" hidden="1">#REF!</definedName>
    <definedName name="_Order1" hidden="1">255</definedName>
    <definedName name="_Order2" hidden="1">255</definedName>
    <definedName name="_Sort" localSheetId="12" hidden="1">#REF!</definedName>
    <definedName name="_Sort" localSheetId="13" hidden="1">#REF!</definedName>
    <definedName name="_Sort" localSheetId="20" hidden="1">#REF!</definedName>
    <definedName name="_Sort" hidden="1">#REF!</definedName>
    <definedName name="a" localSheetId="12">#REF!</definedName>
    <definedName name="a" localSheetId="13">#REF!</definedName>
    <definedName name="a" localSheetId="20">#REF!</definedName>
    <definedName name="a">#REF!</definedName>
    <definedName name="ARP_Threshold" localSheetId="0">'[3]EX 1'!#REF!</definedName>
    <definedName name="ARP_Threshold" localSheetId="1">#REF!</definedName>
    <definedName name="ARP_Threshold" localSheetId="12">'[4]EX 1'!#REF!</definedName>
    <definedName name="ARP_Threshold" localSheetId="13">'[4]EX 1'!#REF!</definedName>
    <definedName name="ARP_Threshold" localSheetId="20">'[4]EX 1'!#REF!</definedName>
    <definedName name="ARP_Threshold">'[4]EX 1'!#REF!</definedName>
    <definedName name="ASSET" localSheetId="12">#REF!</definedName>
    <definedName name="ASSET" localSheetId="13">#REF!</definedName>
    <definedName name="ASSET" localSheetId="20">#REF!</definedName>
    <definedName name="ASSET">#REF!</definedName>
    <definedName name="ASSET_12" localSheetId="12">#REF!</definedName>
    <definedName name="ASSET_12" localSheetId="13">#REF!</definedName>
    <definedName name="ASSET_12" localSheetId="20">#REF!</definedName>
    <definedName name="ASSET_12">#REF!</definedName>
    <definedName name="b" localSheetId="12">'[5]EX 1'!#REF!</definedName>
    <definedName name="b" localSheetId="13">'[5]EX 1'!#REF!</definedName>
    <definedName name="b" localSheetId="20">'[5]EX 1'!#REF!</definedName>
    <definedName name="b">'[5]EX 1'!#REF!</definedName>
    <definedName name="BCExport" localSheetId="12">#REF!</definedName>
    <definedName name="BCExport" localSheetId="13">#REF!</definedName>
    <definedName name="BCExport" localSheetId="20">#REF!</definedName>
    <definedName name="BCExport">#REF!</definedName>
    <definedName name="BLDGFAC" localSheetId="12">#REF!</definedName>
    <definedName name="BLDGFAC" localSheetId="13">#REF!</definedName>
    <definedName name="BLDGFAC" localSheetId="20">#REF!</definedName>
    <definedName name="BLDGFAC">#REF!</definedName>
    <definedName name="BSsheet" localSheetId="12">#REF!</definedName>
    <definedName name="BSsheet" localSheetId="13">#REF!</definedName>
    <definedName name="BSsheet" localSheetId="20">#REF!</definedName>
    <definedName name="BSsheet">#REF!</definedName>
    <definedName name="BuiltIn_Print_Area___3">"$#ref!.$A$6:$Z$23"</definedName>
    <definedName name="BuiltIn_Print_Area___6">"$#ref!.$a$1:$iv$#ref!"</definedName>
    <definedName name="BuiltIn_Print_Titles___3">"$#ref!.$A$1:$IV$5"</definedName>
    <definedName name="CLOSE" localSheetId="12">#REF!</definedName>
    <definedName name="CLOSE" localSheetId="13">#REF!</definedName>
    <definedName name="CLOSE" localSheetId="20">#REF!</definedName>
    <definedName name="CLOSE">#REF!</definedName>
    <definedName name="Cover" localSheetId="12">#REF!</definedName>
    <definedName name="Cover" localSheetId="13">#REF!</definedName>
    <definedName name="Cover" localSheetId="20">#REF!</definedName>
    <definedName name="Cover">#REF!</definedName>
    <definedName name="d" localSheetId="12">#REF!</definedName>
    <definedName name="d" localSheetId="13">#REF!</definedName>
    <definedName name="d" localSheetId="20">#REF!</definedName>
    <definedName name="d">#REF!</definedName>
    <definedName name="DEEPWELL" localSheetId="12">#REF!</definedName>
    <definedName name="DEEPWELL" localSheetId="13">#REF!</definedName>
    <definedName name="DEEPWELL" localSheetId="20">#REF!</definedName>
    <definedName name="DEEPWELL">#REF!</definedName>
    <definedName name="dfghj">'[6]เครื่องมือเครื่องใช้'!$B$1:$IV$2</definedName>
    <definedName name="DORM" localSheetId="12">#REF!</definedName>
    <definedName name="DORM" localSheetId="13">#REF!</definedName>
    <definedName name="DORM" localSheetId="20">#REF!</definedName>
    <definedName name="DORM">#REF!</definedName>
    <definedName name="excel_builtIn_Print" localSheetId="12">'[7]40'!#REF!</definedName>
    <definedName name="excel_builtIn_Print" localSheetId="13">'[7]40'!#REF!</definedName>
    <definedName name="excel_builtIn_Print" localSheetId="20">'[7]40'!#REF!</definedName>
    <definedName name="excel_builtIn_Print">'[7]40'!#REF!</definedName>
    <definedName name="Excel_BuiltIn_Print_Titles_27_1" localSheetId="1">'[7]40'!#REF!</definedName>
    <definedName name="Excel_BuiltIn_Print_Titles_27_1" localSheetId="12">'[7]40'!#REF!</definedName>
    <definedName name="Excel_BuiltIn_Print_Titles_27_1" localSheetId="13">'[7]40'!#REF!</definedName>
    <definedName name="Excel_BuiltIn_Print_Titles_27_1" localSheetId="20">'[7]40'!#REF!</definedName>
    <definedName name="Excel_BuiltIn_Print_Titles_27_1">'[7]40'!#REF!</definedName>
    <definedName name="ghgj">'[6]อุปกรณ์เครื่องแพทย์ _2_'!$B$1:$IV$2</definedName>
    <definedName name="GROUP1" localSheetId="12">#REF!</definedName>
    <definedName name="GROUP1" localSheetId="13">#REF!</definedName>
    <definedName name="GROUP1" localSheetId="20">#REF!</definedName>
    <definedName name="GROUP1">#REF!</definedName>
    <definedName name="income" localSheetId="12">#REF!</definedName>
    <definedName name="income" localSheetId="13">#REF!</definedName>
    <definedName name="income" localSheetId="20">#REF!</definedName>
    <definedName name="income">#REF!</definedName>
    <definedName name="income_12" localSheetId="12">#REF!</definedName>
    <definedName name="income_12" localSheetId="13">#REF!</definedName>
    <definedName name="income_12" localSheetId="20">#REF!</definedName>
    <definedName name="income_12">#REF!</definedName>
    <definedName name="L_Adjust" localSheetId="0">'[8]Links'!$H:$H</definedName>
    <definedName name="L_Adjust" localSheetId="1">'[10]Links'!$H:$H</definedName>
    <definedName name="L_Adjust">'[9]Links'!$H:$H</definedName>
    <definedName name="L_AJE_Tot" localSheetId="0">'[8]Links'!$G:$G</definedName>
    <definedName name="L_AJE_Tot" localSheetId="1">'[10]Links'!$G:$G</definedName>
    <definedName name="L_AJE_Tot">'[9]Links'!$G:$G</definedName>
    <definedName name="L_CY_Beg" localSheetId="0">'[8]Links'!$F:$F</definedName>
    <definedName name="L_CY_Beg" localSheetId="1">'[10]Links'!$F:$F</definedName>
    <definedName name="L_CY_Beg">'[9]Links'!$F:$F</definedName>
    <definedName name="L_CY_End" localSheetId="0">'[8]Links'!$J:$J</definedName>
    <definedName name="L_CY_End" localSheetId="1">'[10]Links'!$J:$J</definedName>
    <definedName name="L_CY_End">'[9]Links'!$J:$J</definedName>
    <definedName name="L_PY_End" localSheetId="0">'[8]Links'!$K:$K</definedName>
    <definedName name="L_PY_End" localSheetId="1">'[10]Links'!$K:$K</definedName>
    <definedName name="L_PY_End">'[9]Links'!$K:$K</definedName>
    <definedName name="L_RJE_Tot" localSheetId="0">'[8]Links'!$I:$I</definedName>
    <definedName name="L_RJE_Tot" localSheetId="1">'[10]Links'!$I:$I</definedName>
    <definedName name="L_RJE_Tot">'[9]Links'!$I:$I</definedName>
    <definedName name="liab" localSheetId="12">#REF!</definedName>
    <definedName name="liab" localSheetId="13">#REF!</definedName>
    <definedName name="liab" localSheetId="20">#REF!</definedName>
    <definedName name="liab">#REF!</definedName>
    <definedName name="liab_12" localSheetId="12">#REF!</definedName>
    <definedName name="liab_12" localSheetId="13">#REF!</definedName>
    <definedName name="liab_12" localSheetId="20">#REF!</definedName>
    <definedName name="liab_12">#REF!</definedName>
    <definedName name="note" localSheetId="12">#REF!</definedName>
    <definedName name="note" localSheetId="13">#REF!</definedName>
    <definedName name="note" localSheetId="20">#REF!</definedName>
    <definedName name="note">#REF!</definedName>
    <definedName name="Notes" localSheetId="12">#REF!</definedName>
    <definedName name="Notes" localSheetId="13">#REF!</definedName>
    <definedName name="Notes" localSheetId="20">#REF!</definedName>
    <definedName name="Notes">#REF!</definedName>
    <definedName name="OFFFAC" localSheetId="12">#REF!</definedName>
    <definedName name="OFFFAC" localSheetId="13">#REF!</definedName>
    <definedName name="OFFFAC" localSheetId="20">#REF!</definedName>
    <definedName name="OFFFAC">#REF!</definedName>
    <definedName name="OPEN" localSheetId="12">#REF!</definedName>
    <definedName name="OPEN" localSheetId="13">#REF!</definedName>
    <definedName name="OPEN" localSheetId="20">#REF!</definedName>
    <definedName name="OPEN">#REF!</definedName>
    <definedName name="pl" localSheetId="12">#REF!</definedName>
    <definedName name="pl" localSheetId="13">#REF!</definedName>
    <definedName name="pl" localSheetId="20">#REF!</definedName>
    <definedName name="pl">#REF!</definedName>
    <definedName name="PLstment" localSheetId="12">#REF!</definedName>
    <definedName name="PLstment" localSheetId="13">#REF!</definedName>
    <definedName name="PLstment" localSheetId="20">#REF!</definedName>
    <definedName name="PLstment">#REF!</definedName>
    <definedName name="_xlnm.Print_Area" localSheetId="0">'Note 1-12'!$A$1:$N$456</definedName>
    <definedName name="_xlnm.Print_Area" localSheetId="1">'P13-14'!$A$1:$M$82</definedName>
    <definedName name="_xlnm.Print_Area" localSheetId="2">'P15-16'!$A$1:$M$71</definedName>
    <definedName name="_xlnm.Print_Area" localSheetId="3">'P17'!$A$1:$X$46</definedName>
    <definedName name="_xlnm.Print_Area" localSheetId="4">'P18-20'!$A$1:$J$89</definedName>
    <definedName name="_xlnm.Print_Area" localSheetId="5">'P21-24'!$A$1:$N$229</definedName>
    <definedName name="_xlnm.Print_Area" localSheetId="7">'P27-29'!$A$1:$M$110</definedName>
    <definedName name="_xlnm.Print_Area" localSheetId="9">'P32-37'!$A$1:$K$257</definedName>
    <definedName name="_xlnm.Print_Area" localSheetId="10">'P38-39'!$A$1:$O$83</definedName>
    <definedName name="_xlnm.Print_Area" localSheetId="11">'P40'!$A$1:$L$40</definedName>
    <definedName name="_xlnm.Print_Area" localSheetId="12">'P41'!$A$1:$O$39</definedName>
    <definedName name="_xlnm.Print_Area" localSheetId="13">'P42-43'!$A$1:$J$84</definedName>
    <definedName name="_xlnm.Print_Area" localSheetId="16">'P46-50'!$A$1:$J$233</definedName>
    <definedName name="_xlnm.Print_Area" localSheetId="21">'P65'!$A$1:$K$73</definedName>
    <definedName name="PRINT_AREA_MI" localSheetId="12">#REF!</definedName>
    <definedName name="PRINT_AREA_MI" localSheetId="13">#REF!</definedName>
    <definedName name="PRINT_AREA_MI" localSheetId="20">#REF!</definedName>
    <definedName name="PRINT_AREA_MI">#REF!</definedName>
    <definedName name="PRINT_TITLES_MI" localSheetId="12">#REF!</definedName>
    <definedName name="PRINT_TITLES_MI" localSheetId="13">#REF!</definedName>
    <definedName name="PRINT_TITLES_MI" localSheetId="20">#REF!</definedName>
    <definedName name="PRINT_TITLES_MI">#REF!</definedName>
    <definedName name="q" localSheetId="12">#REF!</definedName>
    <definedName name="q" localSheetId="13">#REF!</definedName>
    <definedName name="q" localSheetId="20">#REF!</definedName>
    <definedName name="q">#REF!</definedName>
    <definedName name="Report" localSheetId="12">#REF!</definedName>
    <definedName name="Report" localSheetId="13">#REF!</definedName>
    <definedName name="Report" localSheetId="20">#REF!</definedName>
    <definedName name="Report">#REF!</definedName>
    <definedName name="s" localSheetId="12">#REF!</definedName>
    <definedName name="s" localSheetId="13">#REF!</definedName>
    <definedName name="s" localSheetId="20">#REF!</definedName>
    <definedName name="s">#REF!</definedName>
    <definedName name="S_Adjust_Data" localSheetId="0">'[8]Lead'!$J$1:$J$12</definedName>
    <definedName name="S_Adjust_Data" localSheetId="1">'[10]Lead'!$J$1:$J$12</definedName>
    <definedName name="S_Adjust_Data">'[9]Lead'!$J$1:$J$11</definedName>
    <definedName name="S_AJE_Tot_Data" localSheetId="0">'[8]Lead'!$I$1:$I$12</definedName>
    <definedName name="S_AJE_Tot_Data" localSheetId="1">'[10]Lead'!$I$1:$I$12</definedName>
    <definedName name="S_AJE_Tot_Data">'[9]Lead'!$I$1:$I$11</definedName>
    <definedName name="S_CY_Beg_Data" localSheetId="0">'[8]Lead'!$G$1:$G$12</definedName>
    <definedName name="S_CY_Beg_Data" localSheetId="1">'[10]Lead'!$G$1:$G$12</definedName>
    <definedName name="S_CY_Beg_Data">'[9]Lead'!$G$1:$G$11</definedName>
    <definedName name="S_CY_End_Data" localSheetId="0">'[8]Lead'!$L$1:$L$12</definedName>
    <definedName name="S_CY_End_Data" localSheetId="1">'[10]Lead'!$L$1:$L$12</definedName>
    <definedName name="S_CY_End_Data">'[9]Lead'!$L$1:$L$11</definedName>
    <definedName name="S_PY_End_Data" localSheetId="0">'[8]Lead'!$N$1:$N$12</definedName>
    <definedName name="S_PY_End_Data" localSheetId="1">'[10]Lead'!$N$1:$N$12</definedName>
    <definedName name="S_PY_End_Data">'[9]Lead'!$N$1:$N$11</definedName>
    <definedName name="S_RJE_Tot_Data" localSheetId="0">'[8]Lead'!$K$1:$K$12</definedName>
    <definedName name="S_RJE_Tot_Data" localSheetId="1">'[10]Lead'!$K$1:$K$12</definedName>
    <definedName name="S_RJE_Tot_Data">'[9]Lead'!$K$1:$K$11</definedName>
    <definedName name="TOILET" localSheetId="12">#REF!</definedName>
    <definedName name="TOILET" localSheetId="13">#REF!</definedName>
    <definedName name="TOILET" localSheetId="20">#REF!</definedName>
    <definedName name="TOILET">#REF!</definedName>
    <definedName name="WATERELEC" localSheetId="12">#REF!</definedName>
    <definedName name="WATERELEC" localSheetId="13">#REF!</definedName>
    <definedName name="WATERELEC" localSheetId="20">#REF!</definedName>
    <definedName name="WATERELEC">#REF!</definedName>
    <definedName name="YEAR" localSheetId="12">#REF!</definedName>
    <definedName name="YEAR" localSheetId="13">#REF!</definedName>
    <definedName name="YEAR" localSheetId="20">#REF!</definedName>
    <definedName name="YEAR">#REF!</definedName>
    <definedName name="ทะเบียน">#N/A</definedName>
    <definedName name="บวกกลับ" localSheetId="12">#REF!</definedName>
    <definedName name="บวกกลับ" localSheetId="13">#REF!</definedName>
    <definedName name="บวกกลับ" localSheetId="20">#REF!</definedName>
    <definedName name="บวกกลับ">#REF!</definedName>
    <definedName name="ฟหกดฟหกด" localSheetId="12">#REF!</definedName>
    <definedName name="ฟหกดฟหกด" localSheetId="13">#REF!</definedName>
    <definedName name="ฟหกดฟหกด" localSheetId="20">#REF!</definedName>
    <definedName name="ฟหกดฟหกด">#REF!</definedName>
    <definedName name="ยย" localSheetId="12">'[5]EX 1'!#REF!</definedName>
    <definedName name="ยย" localSheetId="13">'[5]EX 1'!#REF!</definedName>
    <definedName name="ยย" localSheetId="20">'[5]EX 1'!#REF!</definedName>
    <definedName name="ยย">'[5]EX 1'!#REF!</definedName>
    <definedName name="ๆ" localSheetId="12">#REF!</definedName>
    <definedName name="ๆ" localSheetId="13">#REF!</definedName>
    <definedName name="ๆ" localSheetId="20">#REF!</definedName>
    <definedName name="ๆ">#REF!</definedName>
  </definedNames>
  <calcPr fullCalcOnLoad="1"/>
</workbook>
</file>

<file path=xl/sharedStrings.xml><?xml version="1.0" encoding="utf-8"?>
<sst xmlns="http://schemas.openxmlformats.org/spreadsheetml/2006/main" count="3818" uniqueCount="1917">
  <si>
    <t xml:space="preserve">    อย่างเดียวกัน และกิจการสามารถเข้าถึงตลาดนั้น ณ วันที่วัดมูลค่า</t>
  </si>
  <si>
    <t>-   ข้อมูลระดับ 2 เป็นข้อมูลอื่นที่สังเกตได้โดยตรง (เช่น ราคาขาย) หรือโดยอ้อม (เช่น ราคาที่สังเกตได้) สำหรับ</t>
  </si>
  <si>
    <t xml:space="preserve">    สินทรัพย์นั้นหรือหนี้สินนั้นนอกเหนือจากราคาเสนอซื้อขายซึ่งรวมอยู่ในข้อมูลระดับ 1</t>
  </si>
  <si>
    <t>-   ข้อมูลระดับ 3 เป็นข้อมูลที่ไม่สามารถสังเกตได้สำหรับสินทรัพย์นั้นหรือหนี้สินนั้น</t>
  </si>
  <si>
    <t>นโยบายการบัญชีและการเปิดเผยข้อมูลของบริษัทหลายข้อกำหนดให้มีการวัดมูลค่ายุติธรรมทั้งสินทรัพย์และหนี้สิน</t>
  </si>
  <si>
    <t>บริษัทฯ กำหนดกรอบแนวคิดของการควบคุมเกี่ยวกับการวัดมูลค่ายุติธรรม กรอบแนวคิดนี้รวมถึงผู้ประเมินมูลค่า ซึ่ง</t>
  </si>
  <si>
    <t>ผู้ประเมินมูลค่ามีการทบทวนข้อมูลที่ไม่สามารถสังเกตได้ และปรับปรุงการวัดมูลค่าที่มีนัยสำคัญอย่างสม่ำเสมอหาก</t>
  </si>
  <si>
    <t>เมื่อวัดมูลค่ายุติธรรมของสินทรัพย์หรือหนี้สิน บริษัทได้ใช้ข้อมูลที่สามารถสังเกตได้ให้มากที่สุดเท่าที่จะทำได้  มูลค่า</t>
  </si>
  <si>
    <t>-   ข้อมูลระดับ 1 เป็นราคาเสนอซื้อขาย  (ไม่ต้องปรับปรุง)   ในตลาดที่มีสภาพคล่องสำหรับสินทรัพย์หรือหนี้สิน</t>
  </si>
  <si>
    <t>หากข้อมูลที่นำมาใช้ในการวัดมูลค่ายุติธรรมของสินทรัพย์หรือหนี้สินถูกจัดประเภทลำดับชั้นที่แตกต่างกันของมูลค่า</t>
  </si>
  <si>
    <t>บริษัทฯ รับรู้การโอนระหว่างลำดับชั้นของมูลค่ายุติธรรม ณ วันสิ้นรอบระยะเวลารายงานที่การโอนเกิดขึ้น</t>
  </si>
  <si>
    <t xml:space="preserve">สัญญาเช่า </t>
  </si>
  <si>
    <t>ในการจัดทำงบการเงินตามมาตรฐานการรายงานทางการเงิน ฝ่ายบริหารจำเป็นต้องใช้ดุลยพินิจและ  การประมาณการ</t>
  </si>
  <si>
    <t>ค่าเผื่อหนี้สงสัยจะสูญของลูกหนี้</t>
  </si>
  <si>
    <t>ในการประมาณค่าเผื่อหนี้สงสัยจะสูญของลูกหนี้ ฝ่ายบริหารจำเป็นต้องใช้ดุลยพินิจในการประมาณการผลขาดทุนที่คาดว่า</t>
  </si>
  <si>
    <t>ค่าเผื่อการด้อยค่าของเงินลงทุนในหลักทรัพย์</t>
  </si>
  <si>
    <t>ที่ดิน อาคารและอุปกรณ์ และค่าเสื่อมราคา</t>
  </si>
  <si>
    <t>บริษัทฯ จะตั้งค่าเผื่อการด้อยค่าของเงินลงทุนในหลักทรัพย์เผื่อขายและเงินลงทุนทั่วไปเมื่อมูลค่ายุติธรรมของเงินลงทุน</t>
  </si>
  <si>
    <t>ในการคำนวณค่าเสื่อมราคาของอาคารและอุปกรณ์     ฝ่ายบริหารจำเป็นต้องทำการประมาณอายุการให้ประโยชน์และ</t>
  </si>
  <si>
    <t>ในการบันทึกและวัดมูลค่าของสินทรัพย์ไม่มีตัวตน ณ วันที่ได้มา ตลอดจนการทดสอบการด้อยค่าในภายหลัง ฝ่ายบริหาร</t>
  </si>
  <si>
    <t>สินทรัพย์ภาษีเงินได้รอการตัดบัญชี</t>
  </si>
  <si>
    <t>บริษัทฯ จะรับรู้สินทรัพย์ภาษีเงินได้รอการตัดบัญชีสำหรับผลแตกต่างชั่วคราวที่ใช้หักภาษีและขาดทุนทางภาษีที่ไม่ได้ใช้</t>
  </si>
  <si>
    <t>ในการพิจารณาประเภทของสัญญาเช่าว่าเป็นสัญญาเช่าดำเนินงานหรือสัญญาเช่าการเงิน ฝ่ายบริหารได้ใช้ดุลยพินิจในการ</t>
  </si>
  <si>
    <t xml:space="preserve">ผลประโยชน์หลังออกจากงานของพนักงานตามโครงการผลประโยชน์ </t>
  </si>
  <si>
    <t>หนี้สินตามโครงการผลประโยชน์หลังออกจากงานของพนักงานประมาณขึ้นตามหลักคณิตศาสตร์ประกันภัย ซึ่งต้อง</t>
  </si>
  <si>
    <t>คดีฟ้องร้อง</t>
  </si>
  <si>
    <t>บริษัทมีหนี้สินที่อาจจะเกิดขึ้นจากการถูกฟ้องร้องเรียกค่าเสียหาย ซึ่งฝ่ายบริหารได้ใช้ดุลยพินิจในการประเมินผลของคดี</t>
  </si>
  <si>
    <t>- 26 -</t>
  </si>
  <si>
    <t>- 35 -</t>
  </si>
  <si>
    <t>- 54 -</t>
  </si>
  <si>
    <t>8</t>
  </si>
  <si>
    <t>บริษัท สหพัฒน์เรียลเอสเตท จำกัด</t>
  </si>
  <si>
    <t>บริษัท เส-นอร์สห โลจิสติกส์ จำกัด</t>
  </si>
  <si>
    <t>บริษัท บางกอกแอธเลติก จำกัด</t>
  </si>
  <si>
    <t xml:space="preserve">บริษัท คิวพี (ประเทศไทย) จำกัด </t>
  </si>
  <si>
    <t>บริษัท กรีน ไลฟ์ แมนเนจเมนท์ จำกัด</t>
  </si>
  <si>
    <t>บริษัท ซันร้อยแปด จำกัด</t>
  </si>
  <si>
    <t xml:space="preserve">    ผลประโยชน์ระยะสั้น</t>
  </si>
  <si>
    <t xml:space="preserve">    ผลประโยชน์ระยะยาว</t>
  </si>
  <si>
    <t>9</t>
  </si>
  <si>
    <t>ภายใน</t>
  </si>
  <si>
    <t>Y 30,000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</si>
  <si>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</si>
  <si>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</si>
  <si>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</si>
  <si>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</si>
  <si>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</si>
  <si>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</si>
  <si>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</si>
  <si>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</si>
  <si>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</si>
  <si>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</si>
  <si>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</si>
  <si>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</si>
  <si>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</si>
  <si>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</si>
  <si>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</si>
  <si>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</si>
  <si>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</si>
  <si>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</si>
  <si>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</si>
  <si>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</si>
  <si>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</si>
  <si>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</si>
  <si>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</si>
  <si>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</si>
  <si>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</si>
  <si>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</si>
  <si>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</si>
  <si>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</si>
  <si>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</si>
  <si>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</si>
  <si>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</si>
  <si>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</si>
  <si>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</si>
  <si>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</si>
  <si>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</si>
  <si>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</si>
  <si>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</si>
  <si>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</si>
  <si>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การวิเคราะห์ความอ่อนไหว</t>
  </si>
  <si>
    <t>ค่าใช้จ่าย(รายได้)ภาษีเงินได้ที่แสดงอยู่ใน</t>
  </si>
  <si>
    <t>อัตราภาษีเงินได้ที่แท้จริง</t>
  </si>
  <si>
    <t>ค่าเผื่อการด้อยค่า - อสังหาริมทรัพย์รอการขาย</t>
  </si>
  <si>
    <t>ผลิตบะหมี่กึ่งสำเร็จรูป</t>
  </si>
  <si>
    <t>ร้านค้าปลีก</t>
  </si>
  <si>
    <t xml:space="preserve">     รวมราคาทุน</t>
  </si>
  <si>
    <t>บริษัท เทรชเชอร์ฮิลล์ จำกัด</t>
  </si>
  <si>
    <t>บริษัท ร่วมประโยชน์ จำกัด</t>
  </si>
  <si>
    <t>บริษัท เพนส์ มาร์เก็ตติ้ง แอนด์ ดิสทริบิวชั่น จำกัด</t>
  </si>
  <si>
    <t>บริษัท โชคชัยพิบูล จำกัด</t>
  </si>
  <si>
    <t xml:space="preserve">               รายได้</t>
  </si>
  <si>
    <t xml:space="preserve">                         ค่าเช่า</t>
  </si>
  <si>
    <t xml:space="preserve">               รวมรายได้</t>
  </si>
  <si>
    <t xml:space="preserve">               รวมค่าใช้จ่ายในการดำเนินงานทางตรง</t>
  </si>
  <si>
    <t xml:space="preserve">                        ค่าเสื่อมราคาสิ่งก่อสร้าง</t>
  </si>
  <si>
    <t xml:space="preserve">                        ต้นทุนค่าบริการ</t>
  </si>
  <si>
    <t xml:space="preserve">      ราชบุรี</t>
  </si>
  <si>
    <t xml:space="preserve">      ศรีราชา</t>
  </si>
  <si>
    <t xml:space="preserve">      ลพบุรี</t>
  </si>
  <si>
    <t xml:space="preserve">      ชัยนาท</t>
  </si>
  <si>
    <t>อสังหาริมทรัพย์เพื่อการลงทุน - ที่ดินอื่น (สุทธิ)</t>
  </si>
  <si>
    <t>อสังหาริมทรัพย์เพื่อการลงทุน - ให้เช่า  (สุทธิ)</t>
  </si>
  <si>
    <t>รวมอสังหาริมทรัพย์เพื่อการลงทุนทั้งสิ้น</t>
  </si>
  <si>
    <t>และค่าพัฒนาที่ดิน</t>
  </si>
  <si>
    <t>รายได้จากงานแสดงสินค้า</t>
  </si>
  <si>
    <t>ขายอสังหาริมทรัพย์</t>
  </si>
  <si>
    <t>ต้นทุนค่าไฟฟ้า และไอน้ำ</t>
  </si>
  <si>
    <t>ค่าไฟฟ้าโรงกรองน้ำ บ่อบำบัด</t>
  </si>
  <si>
    <t xml:space="preserve">    ต้นทุนงานแสดงสินค้า</t>
  </si>
  <si>
    <t>ค่าใช้จ่ายในงานแสดงสินค้า</t>
  </si>
  <si>
    <t xml:space="preserve">    ต้นทุนค่าไฟฟ้า</t>
  </si>
  <si>
    <t xml:space="preserve">    ค่าใช้จ่ายเกี่ยวกับพนักงาน</t>
  </si>
  <si>
    <t xml:space="preserve">    ค่าเสื่อมราคาและค่าตัดจำหน่าย</t>
  </si>
  <si>
    <t xml:space="preserve">                บริษัทฯ มีเงินกู้ยืมระยะยาวจากธนาคาร  ดังนี้</t>
  </si>
  <si>
    <t>เงินกู้ยืมระยะยาว</t>
  </si>
  <si>
    <t>บมจ. ไทยวาโก้</t>
  </si>
  <si>
    <t xml:space="preserve">          มูลค่ายุติธรรมของเงินลงทุนในบริษัทร่วม ประกอบด้วย</t>
  </si>
  <si>
    <t>(ลงชื่อ)………………………………………………………………กรรมการตามอำนาจ</t>
  </si>
  <si>
    <t>ปั่นด้าย, ทอผ้า</t>
  </si>
  <si>
    <t>โปรแกรมคอมพิวเตอร์</t>
  </si>
  <si>
    <t>ราคาทุน</t>
  </si>
  <si>
    <t xml:space="preserve">          ซื้อ</t>
  </si>
  <si>
    <t>ค่าใช้จ่ายตัดจ่ายสะสม</t>
  </si>
  <si>
    <t xml:space="preserve">          ตัดจ่าย</t>
  </si>
  <si>
    <t>ราคาตามบัญชี</t>
  </si>
  <si>
    <t>งบการเงินเฉพาะกิจการ</t>
  </si>
  <si>
    <t>หมายเหตุ : ลักษณะความสัมพันธ์</t>
  </si>
  <si>
    <t>บริษัทมีกรรมการร่วมกัน</t>
  </si>
  <si>
    <t>บริษัทค้ำประกัน</t>
  </si>
  <si>
    <t>บริษัทให้กู้ยืม</t>
  </si>
  <si>
    <t>บริษัทมีรายการซื้อขายระหว่างกัน</t>
  </si>
  <si>
    <t>B</t>
  </si>
  <si>
    <t>C</t>
  </si>
  <si>
    <t>D</t>
  </si>
  <si>
    <t>E</t>
  </si>
  <si>
    <t>ปั่นด้าย,ฟอกย้อม</t>
  </si>
  <si>
    <t>เงินกู้ยืมจากธนาคาร</t>
  </si>
  <si>
    <t>หัก ส่วนของหนี้สินระยะยาวที่ถึงกำหนดชำระภายใน 1 ปี</t>
  </si>
  <si>
    <t xml:space="preserve">                  </t>
  </si>
  <si>
    <t>นิคม</t>
  </si>
  <si>
    <t xml:space="preserve">A, F </t>
  </si>
  <si>
    <t>ป้ายยี่ห้อ</t>
  </si>
  <si>
    <t>A, E ,F</t>
  </si>
  <si>
    <t>บริหารจัดการ</t>
  </si>
  <si>
    <t xml:space="preserve">ลงทุน </t>
  </si>
  <si>
    <t xml:space="preserve">     บวก    กำไร(ขาดทุน)ที่ยังไม่เกิดขึ้นจากการปรับมูลค่ายุติธรรม</t>
  </si>
  <si>
    <t xml:space="preserve">     บมจ. นครหลวงแฟคตอริ่ง </t>
  </si>
  <si>
    <t xml:space="preserve">     บมจ. ศูนย์การแพทย์ไทย</t>
  </si>
  <si>
    <t>ภาษีเงินได้</t>
  </si>
  <si>
    <t xml:space="preserve">    ต้นทุนค่าเช่า</t>
  </si>
  <si>
    <t xml:space="preserve">    ต้นทุนค่าลิขสิทธิ์</t>
  </si>
  <si>
    <t>รองเท้าหนัง</t>
  </si>
  <si>
    <t>ชุดชั้นในชาย</t>
  </si>
  <si>
    <t>กรอบหน้าต่าง</t>
  </si>
  <si>
    <t>เช่าซื้อทรัพย์สิน</t>
  </si>
  <si>
    <t>กึ่งสำเร็จรูป</t>
  </si>
  <si>
    <t>นม</t>
  </si>
  <si>
    <t>ซอส</t>
  </si>
  <si>
    <t>ชิ้นส่วนรถยนต์</t>
  </si>
  <si>
    <t>ที่ทำจากยาง</t>
  </si>
  <si>
    <t>ทอผ้า KNIT</t>
  </si>
  <si>
    <t>ประเภทบอล</t>
  </si>
  <si>
    <t>สินค้าอุปโภค</t>
  </si>
  <si>
    <t>พื้นรองเท้ายาง</t>
  </si>
  <si>
    <t>บริการ</t>
  </si>
  <si>
    <t>พลาสติก</t>
  </si>
  <si>
    <t>ผลิตและจำหน่าย</t>
  </si>
  <si>
    <t>กาแฟกระป๋อง</t>
  </si>
  <si>
    <t>ซ่อมและบำรุง</t>
  </si>
  <si>
    <t>รักษาเครื่องบิน</t>
  </si>
  <si>
    <t>เส้นหมี่ขาว</t>
  </si>
  <si>
    <t>ท่อนไม้</t>
  </si>
  <si>
    <t>ยูคาลิปตัส</t>
  </si>
  <si>
    <t>ธุรกิจสวนอุตสาหกรรม</t>
  </si>
  <si>
    <t>F</t>
  </si>
  <si>
    <t>F   ผู้ถือหุ้นหรือกรรมการเป็นญาติสนิทกรรมการ</t>
  </si>
  <si>
    <t>ผู้ถือหุ้นหรือกรรมการเป็นญาติสนิทกรรมการ</t>
  </si>
  <si>
    <t>A, B, E, F</t>
  </si>
  <si>
    <t>A, E, F</t>
  </si>
  <si>
    <t>A, F</t>
  </si>
  <si>
    <t>A, B, F</t>
  </si>
  <si>
    <t>A, B, C, E, F</t>
  </si>
  <si>
    <t>ลิสซิ่ง</t>
  </si>
  <si>
    <t>อาหารแช่แข็ง</t>
  </si>
  <si>
    <t>โรงพยาบาล</t>
  </si>
  <si>
    <t>สินค้า</t>
  </si>
  <si>
    <t>นันทนาการ</t>
  </si>
  <si>
    <t>สมุนไพร</t>
  </si>
  <si>
    <t>อุตสาหกรรม</t>
  </si>
  <si>
    <t>โรงเรียน</t>
  </si>
  <si>
    <t>E-COMMERCE</t>
  </si>
  <si>
    <t>ขนส่งทางอากาศ</t>
  </si>
  <si>
    <t>โรงเรียนอบรม</t>
  </si>
  <si>
    <t>ภาษา</t>
  </si>
  <si>
    <t>เทรดดิ้ง</t>
  </si>
  <si>
    <t>จำหน่ายสินค้า</t>
  </si>
  <si>
    <t>จำหน่ายเสื้อผ้า</t>
  </si>
  <si>
    <t>วิจัยและ</t>
  </si>
  <si>
    <t>เส้นใย</t>
  </si>
  <si>
    <t>SPANDEX</t>
  </si>
  <si>
    <t xml:space="preserve">     รวมเงินลงทุนทั่วไป - บริษัทอื่น</t>
  </si>
  <si>
    <t xml:space="preserve">               รวมเงินลงทุน  -  บริษัทอื่น</t>
  </si>
  <si>
    <t xml:space="preserve">                     B  บริษัทที่มีกรรมการร่วมกัน</t>
  </si>
  <si>
    <t xml:space="preserve">     บมจ. สหโคเจน (ชลบุรี) </t>
  </si>
  <si>
    <t>หมายเหตุประกอบงบการเงิน</t>
  </si>
  <si>
    <t>สาขาที่  1          เลขที่  999  หมู่  11  ถนนสุขาภิบาล 8   ตำบลหนองขาม  อำเภอศรีราชา  จังหวัดชลบุรี</t>
  </si>
  <si>
    <t>สาขาที่  3          เลขที่  189  หมู่ 15  ถนนเลี่ยงเมืองลำพูน - ป่าซาง   อำเภอเมืองลำพูน  จังหวัดลำพูน</t>
  </si>
  <si>
    <t>ค่าใช้จ่ายพัฒนาที่ดิน</t>
  </si>
  <si>
    <t>ค่าใช้จ่ายโรงกรองน้ำ</t>
  </si>
  <si>
    <t>ค่าใช้จ่ายวิเคราะห์น้ำ</t>
  </si>
  <si>
    <t>ค่าใช้จ่ายอื่น ๆ</t>
  </si>
  <si>
    <t>รวม</t>
  </si>
  <si>
    <t xml:space="preserve">                 -</t>
  </si>
  <si>
    <t>(หน่วย : บาท)</t>
  </si>
  <si>
    <t>ยังไม่ถึงกำหนดชำระ</t>
  </si>
  <si>
    <t>ตั้งแต่ 1 เดือน ถึง 3 เดือน</t>
  </si>
  <si>
    <t>มากกว่า 3 เดือน ถึง 6 เดือน</t>
  </si>
  <si>
    <t>ลักษณะ</t>
  </si>
  <si>
    <t>ความสัมพันธ์</t>
  </si>
  <si>
    <t xml:space="preserve">     บริษัทร่วม</t>
  </si>
  <si>
    <t>ลำดับ</t>
  </si>
  <si>
    <t>ทุนชำระแล้ว</t>
  </si>
  <si>
    <t>วิธีราคาทุน</t>
  </si>
  <si>
    <t>เงินปันผล</t>
  </si>
  <si>
    <t>(พันบาท)</t>
  </si>
  <si>
    <t>(บาท)</t>
  </si>
  <si>
    <t>เสื้อผ้า</t>
  </si>
  <si>
    <t>A, E</t>
  </si>
  <si>
    <t>ชุดชั้นใน</t>
  </si>
  <si>
    <t>A</t>
  </si>
  <si>
    <t>ลงทุน</t>
  </si>
  <si>
    <t>ผงซักฟอก</t>
  </si>
  <si>
    <t>A, B, E</t>
  </si>
  <si>
    <t>สาขาที่  5          เลขที่  269  หมู่ 15  ตำบลแม่กาษา  อำเภอแม่สอด  จังหวัดตาก</t>
  </si>
  <si>
    <t>กระแสไฟฟ้า</t>
  </si>
  <si>
    <t>อุปกรณ์</t>
  </si>
  <si>
    <t>สาขาที่  2          เลขที่   1  หมู่  5   ถนนสุวรรณศร  ตำบลนนทรี  อำเภอกบินทร์บุรี  จังหวัดปราจีนบุรี</t>
  </si>
  <si>
    <t xml:space="preserve">         รวม</t>
  </si>
  <si>
    <t>ประเภท</t>
  </si>
  <si>
    <t>ที่ดิน</t>
  </si>
  <si>
    <t>ค่าพัฒนา</t>
  </si>
  <si>
    <t xml:space="preserve">           รวม</t>
  </si>
  <si>
    <t>ยานพาหนะ</t>
  </si>
  <si>
    <t>เครื่องใช้สำนักงาน</t>
  </si>
  <si>
    <t>ทรัพย์สินระหว่าง</t>
  </si>
  <si>
    <t>และอื่นๆ</t>
  </si>
  <si>
    <t>ก่อสร้าง</t>
  </si>
  <si>
    <t xml:space="preserve">      ราคาทุน</t>
  </si>
  <si>
    <t xml:space="preserve">               ซื้อ </t>
  </si>
  <si>
    <t xml:space="preserve">               จำหน่าย  หรือ  ตัดจ่าย</t>
  </si>
  <si>
    <t xml:space="preserve">     ค่าเสื่อมราคาสะสม</t>
  </si>
  <si>
    <t xml:space="preserve">                ค่าเสื่อมราคา</t>
  </si>
  <si>
    <t xml:space="preserve">                จำหน่าย</t>
  </si>
  <si>
    <t xml:space="preserve">     ค่าเผื่อการด้อยค่า</t>
  </si>
  <si>
    <t xml:space="preserve">                เพิ่ม</t>
  </si>
  <si>
    <t xml:space="preserve">      ราคาตามบัญชี</t>
  </si>
  <si>
    <t xml:space="preserve">     - บริษัท สหชลผลพืช จำกัด</t>
  </si>
  <si>
    <t xml:space="preserve">     - บริษัท พิทักษ์กิจ จำกัด</t>
  </si>
  <si>
    <t xml:space="preserve">     - บริษัท ไหมทอง จำกัด</t>
  </si>
  <si>
    <t>รวมวงเงินค้ำประกันทั้งสิ้น</t>
  </si>
  <si>
    <t>(หน่วย : พันบาท)</t>
  </si>
  <si>
    <t>ธุรกิจเช่าและบริการ</t>
  </si>
  <si>
    <t xml:space="preserve">       </t>
  </si>
  <si>
    <t xml:space="preserve">       สินทรัพย์ / หนี้สิน</t>
  </si>
  <si>
    <t>ค่าค้ำประกันรับ</t>
  </si>
  <si>
    <t>ค่าไฟฟ้า และ ไอน้ำรับ</t>
  </si>
  <si>
    <t>ค่าลิขสิทธิ์รับ</t>
  </si>
  <si>
    <t>ค่าปรึกษารับ</t>
  </si>
  <si>
    <t>ค่าเช่ารับ</t>
  </si>
  <si>
    <t>ค่าน้ำรับ</t>
  </si>
  <si>
    <t>รายได้อื่น</t>
  </si>
  <si>
    <t>เงินปันผลรับ</t>
  </si>
  <si>
    <t xml:space="preserve">       ค่าใช้จ่าย</t>
  </si>
  <si>
    <t>ค่ารักษาความปลอดภัย</t>
  </si>
  <si>
    <t>ค่าบำบัดน้ำเสียจ่าย</t>
  </si>
  <si>
    <t>หมายเหตุ :  ลักษณะความสัมพันธ์</t>
  </si>
  <si>
    <t>D  บริษัทให้กู้ยืมเงิน</t>
  </si>
  <si>
    <t xml:space="preserve">                     C  บริษัทค้ำประกัน</t>
  </si>
  <si>
    <t>E  บริษัทมีรายการซื้อขายระหว่างกัน</t>
  </si>
  <si>
    <t>A, B</t>
  </si>
  <si>
    <t>ชื่อกิจการ</t>
  </si>
  <si>
    <t>สัดส่วนเงินลงทุน</t>
  </si>
  <si>
    <t>ที่</t>
  </si>
  <si>
    <t>กิจการ</t>
  </si>
  <si>
    <t>(ร้อยละ)</t>
  </si>
  <si>
    <t xml:space="preserve">     บมจ. เอส แอนด์ เจ </t>
  </si>
  <si>
    <t xml:space="preserve">เครื่องสำอาง </t>
  </si>
  <si>
    <t>อุปโภค</t>
  </si>
  <si>
    <t>ถุงเท้า</t>
  </si>
  <si>
    <t xml:space="preserve">     บมจ. บางกอกรับเบอร์</t>
  </si>
  <si>
    <t>รองเท้ากีฬา</t>
  </si>
  <si>
    <t xml:space="preserve">     บมจ. บูติคนิวซิตี้</t>
  </si>
  <si>
    <t>สำเร็จรูปสตรี</t>
  </si>
  <si>
    <t xml:space="preserve">     บมจ. แพนเอเซียฟุตแวร์</t>
  </si>
  <si>
    <t xml:space="preserve">            บวก    กำไรที่ยังไม่เกิดขึ้นจากการปรับมูลค่ายุติธรรม</t>
  </si>
  <si>
    <t>ชุดกีฬา</t>
  </si>
  <si>
    <t>ขนส่ง</t>
  </si>
  <si>
    <t>ผลิตผ้าลูกไม้</t>
  </si>
  <si>
    <t>ผลิตขวดแก้ว</t>
  </si>
  <si>
    <t>เครื่องหนัง</t>
  </si>
  <si>
    <t>ตัวแทนขาย</t>
  </si>
  <si>
    <t>ขายตรง</t>
  </si>
  <si>
    <t>เครื่องใช้ไฟฟ้า</t>
  </si>
  <si>
    <t>ปั่นด้ายฝ้าย</t>
  </si>
  <si>
    <t>ระบบรักษา</t>
  </si>
  <si>
    <t>ความปลอดภัย</t>
  </si>
  <si>
    <t xml:space="preserve">          (ประเทศไทย)</t>
  </si>
  <si>
    <t>จักรเย็บผ้า</t>
  </si>
  <si>
    <t xml:space="preserve">          (ไทยแลนด์)</t>
  </si>
  <si>
    <t>สำเร็จรูป</t>
  </si>
  <si>
    <t>ผ้าขนหนู</t>
  </si>
  <si>
    <t>เบเกอรี่</t>
  </si>
  <si>
    <t>อะไหล่รถ</t>
  </si>
  <si>
    <t>จักรยานยนต์</t>
  </si>
  <si>
    <t>ฟอกย้อม</t>
  </si>
  <si>
    <t>ปักเสื้อ</t>
  </si>
  <si>
    <t>Cubic</t>
  </si>
  <si>
    <t>Printing</t>
  </si>
  <si>
    <t>หมากฝรั่ง</t>
  </si>
  <si>
    <t>ยารักษาโรค</t>
  </si>
  <si>
    <t>สนามกอล์ฟ</t>
  </si>
  <si>
    <t>ประกันภัย</t>
  </si>
  <si>
    <t>บริการฝังเข็ม</t>
  </si>
  <si>
    <t xml:space="preserve">     รวม</t>
  </si>
  <si>
    <t xml:space="preserve">     (หัก)  ค่าเผื่อผลขาดทุนจากการด้อยค่า</t>
  </si>
  <si>
    <t xml:space="preserve">           รวมเงินลงทุน - กิจการที่เกี่ยวข้องกัน</t>
  </si>
  <si>
    <t xml:space="preserve">     บมจ. นิวซิตี้ (กรุงเทพฯ)</t>
  </si>
  <si>
    <t xml:space="preserve">     บมจ. ประชาอาภรณ์</t>
  </si>
  <si>
    <t xml:space="preserve">     บมจ. เท็กซ์ไทล์เพรสทีจ</t>
  </si>
  <si>
    <t>ผ้าลูกไม้ปัก</t>
  </si>
  <si>
    <t xml:space="preserve">    ต้นทุนค่าน้ำและไอน้ำ</t>
  </si>
  <si>
    <t xml:space="preserve">     บมจ. ฟาร์อีสท์ ดีดีบี</t>
  </si>
  <si>
    <t>โฆษณา</t>
  </si>
  <si>
    <t xml:space="preserve">     บมจ. นิวพลัสนิตติ้ง</t>
  </si>
  <si>
    <t>ถุงน่อง</t>
  </si>
  <si>
    <t xml:space="preserve">     บมจ. เพรซิเดนท์ไรซ์</t>
  </si>
  <si>
    <t>ผลิตภัณฑ์</t>
  </si>
  <si>
    <t>จากข้าว</t>
  </si>
  <si>
    <t>ปั่นด้าย</t>
  </si>
  <si>
    <t xml:space="preserve">     บมจ. สหยูเนี่ยน</t>
  </si>
  <si>
    <t>สิ่งทอและอุปกรณ์</t>
  </si>
  <si>
    <t xml:space="preserve">     บมจ. ยูเนี่ยนไพโอเนียร์</t>
  </si>
  <si>
    <t>สายยางยืด</t>
  </si>
  <si>
    <t xml:space="preserve">     บมจ. เพรซิเดนท์ เบเกอรี่</t>
  </si>
  <si>
    <t>สื่อสิ่งพิมพ์</t>
  </si>
  <si>
    <t xml:space="preserve">     รวมเงินลงทุนในหลักทรัพย์เผื่อขาย  - บริษัทอื่น</t>
  </si>
  <si>
    <t>พัฒนาที่ดิน</t>
  </si>
  <si>
    <t>พื้นรองเท้า</t>
  </si>
  <si>
    <t>กล่องกระดาษ</t>
  </si>
  <si>
    <t>ค่าเบี้ยประกัน</t>
  </si>
  <si>
    <t>ลักษณะความสัมพันธ์</t>
  </si>
  <si>
    <t>พัฒนา</t>
  </si>
  <si>
    <t>สถานบริการ</t>
  </si>
  <si>
    <t>ความงาม</t>
  </si>
  <si>
    <t>รายจ่ายเพื่อการก่อสร้าง</t>
  </si>
  <si>
    <t xml:space="preserve">                               (ลงชื่อ)……………………………………………………………………….กรรมการตามอำนาจ</t>
  </si>
  <si>
    <t>มากกว่า 12 เดือนขึ้นไป</t>
  </si>
  <si>
    <t xml:space="preserve">            รวมเงินลงทุนในหลักทรัพย์เผื่อขาย  - กิจการที่เกี่ยวข้องกัน</t>
  </si>
  <si>
    <t xml:space="preserve">     รวมเงินลงทุนทั่วไป  - กิจการที่เกี่ยวข้องกัน</t>
  </si>
  <si>
    <t xml:space="preserve">     กิจการที่เกี่ยวข้องกัน</t>
  </si>
  <si>
    <t>ค่าสาธารณูปโภครับ</t>
  </si>
  <si>
    <t>ผลิตชิ้นส่วน</t>
  </si>
  <si>
    <t>อุปกรณ์รถยนต์</t>
  </si>
  <si>
    <t>LION CORPORATION (JAPAN)</t>
  </si>
  <si>
    <t>¥34,433</t>
  </si>
  <si>
    <t xml:space="preserve"> </t>
  </si>
  <si>
    <t xml:space="preserve">            หัก      ค่าเผื่อผลขาดทุนจากการด้อยค่า</t>
  </si>
  <si>
    <t>Logistic</t>
  </si>
  <si>
    <t xml:space="preserve">                </t>
  </si>
  <si>
    <t>งบการเงินที่แสดงเงินลงทุนตามวิธีส่วนได้เสีย</t>
  </si>
  <si>
    <t>สาขาที่  4          เลขที่  196  หมู่ 11  ตำบลวังดาล  อำเภอกบินทร์บุรี  จังหวัดปราจีนบุรี</t>
  </si>
  <si>
    <t xml:space="preserve">        </t>
  </si>
  <si>
    <t>ค่าบำบัดน้ำเสียรับ</t>
  </si>
  <si>
    <t xml:space="preserve">               โอน</t>
  </si>
  <si>
    <t>บริษัทร่วม</t>
  </si>
  <si>
    <t>บมจ. ธนูลักษณ์</t>
  </si>
  <si>
    <t>บมจ. สหพัฒนพิบูล</t>
  </si>
  <si>
    <t>กรีน ไลฟ์ แมนเนจเมนท์</t>
  </si>
  <si>
    <t>บริการห้องพัก</t>
  </si>
  <si>
    <t xml:space="preserve">     บมจ. ไทยซัมซุง ประกันชีวิต</t>
  </si>
  <si>
    <t xml:space="preserve">     KYOSHUN</t>
  </si>
  <si>
    <t xml:space="preserve">      KALLOL THAI </t>
  </si>
  <si>
    <t>ให้คำปรึกษา</t>
  </si>
  <si>
    <t xml:space="preserve">     บจ. โมบาย โลจิสติกส์</t>
  </si>
  <si>
    <t>โลจิสติกส์</t>
  </si>
  <si>
    <t xml:space="preserve">     บมจ. ซิงเกอร์ประเทศไทย</t>
  </si>
  <si>
    <t xml:space="preserve">     บจ. วินด์เซอร์ปาร์ค แอนด์ </t>
  </si>
  <si>
    <t xml:space="preserve">                จำหน่ายหรือตัดจ่าย</t>
  </si>
  <si>
    <t xml:space="preserve">     ณ วันที่ 31 ธันวาคม 2558</t>
  </si>
  <si>
    <t xml:space="preserve">    บริษัทฯจ่ายค่าชดเชยผลประโยชน์หลังออกจากงานและบำเหน็จตามข้อกำหนดของพระราชบัญญัติคุ้มครองแรงงาน </t>
  </si>
  <si>
    <t xml:space="preserve">       พ.ศ. 2541 ในการให้ผลประโยชน์เมื่อเกษียณอายุ และผลประโยชน์ระยะยาวอื่นแก่พนักงานตามสิทธิและอายุงาน</t>
  </si>
  <si>
    <t xml:space="preserve">    ต้นทุนบริการปัจจุบัน</t>
  </si>
  <si>
    <t xml:space="preserve">    ต้นทุนดอกเบี้ย</t>
  </si>
  <si>
    <t xml:space="preserve">    รวม</t>
  </si>
  <si>
    <t xml:space="preserve">    ค่าตอบแทนผู้บริหาร</t>
  </si>
  <si>
    <t xml:space="preserve">    ค่าตอบแทนกรรมการ</t>
  </si>
  <si>
    <t xml:space="preserve">                 จำนวน 13,000,000 USD</t>
  </si>
  <si>
    <t xml:space="preserve">     - บริษัท สห โตคิว คอร์ปอเรชั่น จำกัด</t>
  </si>
  <si>
    <t xml:space="preserve">        ต้นทุนทางการเงิน</t>
  </si>
  <si>
    <t>บริษัทฯ ใช้วิธีราคาตลาดในการวัดมูลค่ายุติธรรมของสินทรัพย์และหนี้สินซึ่งมาตรฐานการรายงานทางการเงิน</t>
  </si>
  <si>
    <t>ในการนำเทคนิคการวัดมูลค่ายุติธรรมข้างต้นมาใช้ กิจการต้องใช้ข้อมูลที่สามารถสังเกตได้ที่เกี่ยวข้องกับสินทรัพย์</t>
  </si>
  <si>
    <t xml:space="preserve">ข้อมูลระดับ 1 </t>
  </si>
  <si>
    <t>เป็นราคาเสนอซื้อขาย (ไม่ต้องปรับปรุง) ในตลาดที่มีสภาพคล่องสำหรับสินทรัพย์หรือหนิ้สิน</t>
  </si>
  <si>
    <t>อย่างเดียวกัน และกิจการสามารถเข้าถึงตลาดนั้น ณ วันที่วัดมูลค่าได้</t>
  </si>
  <si>
    <t>ข้อมูลระดับ 2</t>
  </si>
  <si>
    <t>เป็นข้อมูลอื่นที่สังเกตได้ไม่ว่าโดยทางตรงหรือโดยทางอ้อมสำหรับสินทรัพย์นั้นหรือหนี้สินนั้น</t>
  </si>
  <si>
    <t>นอกเหนือจากราคาเสนอซื้อขายซึ่งรวมอยู่ในข้อมูลระดับ 1</t>
  </si>
  <si>
    <t>ข้อมูลระดับ 3</t>
  </si>
  <si>
    <t>เป็นข้อมูลที่ไม่สามารถสังเกตได้สำหรับสินทรัพย์หรือหนี้สินนั้น</t>
  </si>
  <si>
    <t>(หน่วย: บาท)</t>
  </si>
  <si>
    <t>ระดับ 1</t>
  </si>
  <si>
    <t>ระดับ 2</t>
  </si>
  <si>
    <t>ระดับ 3</t>
  </si>
  <si>
    <t xml:space="preserve">             เงินลงทุนในหลักทรัพย์เผื่อขาย :</t>
  </si>
  <si>
    <t>เงินลงทุนในกิจการที่เกี่ยวข้องกัน</t>
  </si>
  <si>
    <t>เงินลงทุนระยะยาวอื่น</t>
  </si>
  <si>
    <t xml:space="preserve">        (ลงชื่อ)……………………………………………………………………….กรรมการตามอำนาจ</t>
  </si>
  <si>
    <t>ที่ดิน อาคารและอุปกรณ์</t>
  </si>
  <si>
    <t>สินทรัพย์ไม่มีตัวตน</t>
  </si>
  <si>
    <t xml:space="preserve">     บมจ. อมตะ วีเอ็น</t>
  </si>
  <si>
    <t>อุปกรณ์รักษาโรค</t>
  </si>
  <si>
    <t xml:space="preserve">       2 ไร่ 1 งาน 20.5 ตารางวา จำนวน  60,753,000.00 บาท  โดยบริษัทฯ ชำระค่าที่ดินครบถ้วนและตามสัญญา  บริษัทฯ จะได้รับ</t>
  </si>
  <si>
    <t>- 34 -</t>
  </si>
  <si>
    <t>- 53 -</t>
  </si>
  <si>
    <t>- 55 -</t>
  </si>
  <si>
    <t xml:space="preserve">     งบการเงินฉบับภาษาไทยนี้</t>
  </si>
  <si>
    <t>- 25 -</t>
  </si>
  <si>
    <t xml:space="preserve">    ข้อสมมติฐานหลักในการประมาณการตามหลักการคณิตศาสตร์ประกันภัย ณ วันที่รายงาน</t>
  </si>
  <si>
    <t>ภาษีเงินได้นิติบุคคลสำหรับปี</t>
  </si>
  <si>
    <t>ค่าใช้จ่ายภาษีเงินได้ที่แสดงอยู่ในงบกำไรขาดทุนเบ็ดเสร็จ</t>
  </si>
  <si>
    <t>งบกำไรขาดทุนเบ็ดเสร็จ</t>
  </si>
  <si>
    <t xml:space="preserve">   ภาษีเงินได้ ประกอบด้วยภาษีเงินได้ของงวดปัจจุบันและภาษีเงินได้รอการตัดบัญชี</t>
  </si>
  <si>
    <t>ภาษีเงินได้ปัจจุบัน</t>
  </si>
  <si>
    <t>ภาษีเงินได้รอการตัดบัญชี</t>
  </si>
  <si>
    <t xml:space="preserve">   ณ วันสิ้นรอบระยะเวลารายงานกับฐานภาษีของสินทรัพย์และหนี้สินที่เกี่ยวข้องนั้น โดยใช้อัตราภาษีที่มีผลบังคับใช้ </t>
  </si>
  <si>
    <t xml:space="preserve">   ณ วันสิ้นรอบระยะเวลารายงาน</t>
  </si>
  <si>
    <t>การเปลี่ยนแปลงการนำเสนอและการเปิดเผยข้อมูลส่วนงานนี้ไม่มีผลกระทบที่มีสาระสำคัญต่อข้อมูลส่วนงานที่เคย</t>
  </si>
  <si>
    <t>มากกว่า 6 เดือน ถึง 12 เดือน</t>
  </si>
  <si>
    <t>บจ.</t>
  </si>
  <si>
    <t>อินเตอร์เนชั่นแนล แลบบอราทอรีส์</t>
  </si>
  <si>
    <t xml:space="preserve">     บจ. บางกอกแอธเลติก</t>
  </si>
  <si>
    <t xml:space="preserve">     บจ. ศรีราชาขนส่ง</t>
  </si>
  <si>
    <t xml:space="preserve">     บจ. ไทยทาเคดะเลซ</t>
  </si>
  <si>
    <t xml:space="preserve">     บจ. เจนเนอร์รัลกลาส</t>
  </si>
  <si>
    <t xml:space="preserve">     บจ. ไทยมอนสเตอร์</t>
  </si>
  <si>
    <t xml:space="preserve">     บจ. ภัทยาอุตสาหกิจ</t>
  </si>
  <si>
    <t xml:space="preserve">     บจ. ไทยชิกิโบ</t>
  </si>
  <si>
    <t xml:space="preserve">     บจ. จาโนเม่ (ประเทศไทย)</t>
  </si>
  <si>
    <t xml:space="preserve">     บจ. ราชาอูชิโน</t>
  </si>
  <si>
    <t xml:space="preserve">     บจ. ไทยอาราอิ</t>
  </si>
  <si>
    <t xml:space="preserve">     บจ. ไทยลอตเต้</t>
  </si>
  <si>
    <t xml:space="preserve">     บจ. ฮัวถอ(ประเทศไทย)</t>
  </si>
  <si>
    <t xml:space="preserve">     บจ. สหอุบลนคร</t>
  </si>
  <si>
    <t xml:space="preserve">     บจ. แพนแลนด์</t>
  </si>
  <si>
    <t xml:space="preserve">     บจ. เค.ที.วาย อินดัสตรี</t>
  </si>
  <si>
    <t xml:space="preserve">     บจ. สหรัตนนคร</t>
  </si>
  <si>
    <t xml:space="preserve">     บจ. ไทยกุลแซ่</t>
  </si>
  <si>
    <t xml:space="preserve">     บจ. เค.คอมเมอร์เชียล </t>
  </si>
  <si>
    <t xml:space="preserve">     บจ. ยูนิลิส  </t>
  </si>
  <si>
    <t xml:space="preserve">     บจ. ไทยทาคายา</t>
  </si>
  <si>
    <t xml:space="preserve">     บจ. แดรี่ไทย</t>
  </si>
  <si>
    <t xml:space="preserve">     บจ. ไทยแน็กซิส</t>
  </si>
  <si>
    <t xml:space="preserve">     บจ. ร่วมประโยชน์</t>
  </si>
  <si>
    <t xml:space="preserve">     บจ. มอลเทน (ไทยแลนด์)</t>
  </si>
  <si>
    <t xml:space="preserve">     บจ. สัมพันธมิตร</t>
  </si>
  <si>
    <t xml:space="preserve">     บจ. วีน อินเตอร์เนชั่นแนล </t>
  </si>
  <si>
    <t xml:space="preserve">     บจ. สหเซวา</t>
  </si>
  <si>
    <t>ห้างสรรพสินค้า</t>
  </si>
  <si>
    <t xml:space="preserve">     บจ. เดอะมอลล์ราชสีมา</t>
  </si>
  <si>
    <t xml:space="preserve">     บจ. เพนส์ มาร์เก็ตติ้ง </t>
  </si>
  <si>
    <t xml:space="preserve">     บจ. ไทยโคบาชิ</t>
  </si>
  <si>
    <t xml:space="preserve">     บจ. ไทยโทมาโด</t>
  </si>
  <si>
    <t xml:space="preserve">     บจ. สยามออโต้แบคส์</t>
  </si>
  <si>
    <t xml:space="preserve">     บจ. บุญรวี  </t>
  </si>
  <si>
    <t xml:space="preserve">     บจ. อาซาฮี คาเซอิ </t>
  </si>
  <si>
    <t xml:space="preserve">     บจ. ซูรูฮะ (ประเทศไทย)</t>
  </si>
  <si>
    <t>ร้านขายยา</t>
  </si>
  <si>
    <t xml:space="preserve">     บจ. สห ลอว์สัน</t>
  </si>
  <si>
    <t xml:space="preserve">     บจ. เจ แอนด์ พี (ประเทศไทย)</t>
  </si>
  <si>
    <t xml:space="preserve">     บจ. บีเอ็นซี แม่สอด</t>
  </si>
  <si>
    <t>ผลิตถุงเท้า</t>
  </si>
  <si>
    <t xml:space="preserve">     บจ. สหนำเท็กซ์ไทล์</t>
  </si>
  <si>
    <t>สิ่งทอ</t>
  </si>
  <si>
    <t xml:space="preserve">     THAI PRESIDENT FOODS</t>
  </si>
  <si>
    <t>ผลิตบะหมี่</t>
  </si>
  <si>
    <t xml:space="preserve">           (Hungary) Kft.</t>
  </si>
  <si>
    <t>HUF  2,350,000</t>
  </si>
  <si>
    <t xml:space="preserve">     บจ. สหเซเรน</t>
  </si>
  <si>
    <t xml:space="preserve">     บจ. นูบูน</t>
  </si>
  <si>
    <t xml:space="preserve">     บจ. บางกอกคลับ</t>
  </si>
  <si>
    <t xml:space="preserve">     บจ. ไทยโอซูก้า </t>
  </si>
  <si>
    <t xml:space="preserve">     บจ. ขอนแก่นวิเทศศึกษา</t>
  </si>
  <si>
    <t xml:space="preserve">     บจ. สยาม ไอ -โลจิสติคส์</t>
  </si>
  <si>
    <t xml:space="preserve">     บจ. ไดโซ  ซังเกียว </t>
  </si>
  <si>
    <t xml:space="preserve">     บจ. สยาม ดีซีเอ็ม</t>
  </si>
  <si>
    <t>ผลประโยชน์พนักงานจ่าย</t>
  </si>
  <si>
    <t>ภาษีเงินได้ปัจจุบัน :</t>
  </si>
  <si>
    <t>สินทรัพย์ภาษีเงินได้</t>
  </si>
  <si>
    <t>หนี้สินภาษีเงินได้</t>
  </si>
  <si>
    <t>ภาษีเงินได้รอการตัดบัญชี :</t>
  </si>
  <si>
    <t>(ลงชื่อ)………………………..…………………………………………กรรมการตามอำนาจ</t>
  </si>
  <si>
    <t xml:space="preserve">                            คู่สัญญาต้องปฏิบัติตามเงื่อนไขของสัญญาตามอัตราที่ตกลงต่อยอดขาย </t>
  </si>
  <si>
    <t xml:space="preserve">     - บริษัท ซูรูฮะ (ประเทศไทย) จำกัด</t>
  </si>
  <si>
    <t xml:space="preserve">        ภาษีเงินได้</t>
  </si>
  <si>
    <t>ค่าเผื่อการด้อยค่า - อสังหาริมทรัพย์เพื่อการลงทุน - ที่ดินให้เช่า</t>
  </si>
  <si>
    <t>เงินรับล่วงหน้า</t>
  </si>
  <si>
    <t>ภาระหนี้สินจากการค้ำประกัน</t>
  </si>
  <si>
    <t>ภาระผูกพันผลประโยชน์พนักงาน</t>
  </si>
  <si>
    <t>ค่าเผื่อการด้อยค่า - เงินมัดจำที่ดิน</t>
  </si>
  <si>
    <t>อสังหาริมทรัพย์ตามสัญญาจะซื้อจะขาย</t>
  </si>
  <si>
    <t>กำไรที่ยังไม่เกิดขึ้นจากการปรับมูลค่ายุติธรรมของเงินลงทุน</t>
  </si>
  <si>
    <t>กำไรทางบัญชีก่อนภาษีเงินได้นิติบุคคล</t>
  </si>
  <si>
    <t>อัตราภาษีเงินได้นิติบุคคล</t>
  </si>
  <si>
    <t xml:space="preserve">ผลกระทบทางภาษีสำหรับ : </t>
  </si>
  <si>
    <t>รายได้อื่นที่เกณฑ์บัญชีต่างจากเกณฑ์ภาษี</t>
  </si>
  <si>
    <t>รายจ่ายต้องห้าม</t>
  </si>
  <si>
    <t>รายการลดหย่อนทางภาษี</t>
  </si>
  <si>
    <t>ภาษีเงินได้รอการตัดบัญชีจากผลแตกต่างชั่วคราวและ</t>
  </si>
  <si>
    <t xml:space="preserve">   การกลับรายการผลแตกต่างชั่วคราว</t>
  </si>
  <si>
    <t>กำไรทางบัญชีก่อนภาษีเงินได้นิติบุคคลคูณอัตราภาษี</t>
  </si>
  <si>
    <t>บริษัท ชาล์ดอง (ประเทศไทย) จำกัด</t>
  </si>
  <si>
    <t>บริษัท สห ลอว์สัน จำกัด</t>
  </si>
  <si>
    <t>บริษัท ซูรูฮะ (ประเทศไทย) จำกัด</t>
  </si>
  <si>
    <t>บริษัท คาร์บอน เมจิก (ประเทศไทย) จำกัด</t>
  </si>
  <si>
    <t>- 32 -</t>
  </si>
  <si>
    <t>- 43 -</t>
  </si>
  <si>
    <t>- 47 -</t>
  </si>
  <si>
    <t>- 48 -</t>
  </si>
  <si>
    <t>- 49 -</t>
  </si>
  <si>
    <t>บริษัท ทรัพย์สินสหพัฒน์ จำกัด</t>
  </si>
  <si>
    <t>บริษัท โมเดอร์น เทคโนโลยี่ คอมโพเน้นท์ จำกัด</t>
  </si>
  <si>
    <t>- 50 -</t>
  </si>
  <si>
    <t xml:space="preserve">      (ผลต่างเกณฑ์บัญชีกับเกณฑ์ภาษี)</t>
  </si>
  <si>
    <t>ส่วนงานดำเนินงาน เป็นการนำเสนอมุมมองของผู้บริหารในการรายงานข้อมูลส่วนงาน โดยข้อมูลส่วนงานอ้างอิงจาก</t>
  </si>
  <si>
    <t>อัตรามรณะ</t>
  </si>
  <si>
    <t>- 33 -</t>
  </si>
  <si>
    <t xml:space="preserve">        การดำเนินงานของแต่ละส่วนงานที่รายงานของบริษัทฯโดยสรุปมีดังนี้</t>
  </si>
  <si>
    <t>- 51 -</t>
  </si>
  <si>
    <t>สาขาที่  6          เลขที่  1  หมู่ 6  ตำบลสุรศักดิ์  อำเภอศรีราชา  จังหวัดชลบุรี</t>
  </si>
  <si>
    <t>กำไรต่อหุ้น</t>
  </si>
  <si>
    <t>งบการเงินรวม</t>
  </si>
  <si>
    <t>KHR 2,000,000</t>
  </si>
  <si>
    <t>สห โตคิว คอร์ปอเรชั่น</t>
  </si>
  <si>
    <t>บริการบ้านพัก</t>
  </si>
  <si>
    <t xml:space="preserve">     บจ. บีเอ็นซี เรียลเอสเตท</t>
  </si>
  <si>
    <t>อสังหาริมทรัพย์</t>
  </si>
  <si>
    <t>จำหน่ายเสื้อผ้าสำเร็จรูป</t>
  </si>
  <si>
    <t>USD 1,200</t>
  </si>
  <si>
    <t xml:space="preserve">     AMIS DU MONDE SARL</t>
  </si>
  <si>
    <t>ในต่างประเทศ</t>
  </si>
  <si>
    <t>EUR 1,200</t>
  </si>
  <si>
    <t>แอร์แบค</t>
  </si>
  <si>
    <t>A, C</t>
  </si>
  <si>
    <t>USD 5,000</t>
  </si>
  <si>
    <t xml:space="preserve">     บจ. เคพี ซอฟท์</t>
  </si>
  <si>
    <t xml:space="preserve">     บจ. นิปปอน เต ซาโต</t>
  </si>
  <si>
    <t>ร้านอาหาร</t>
  </si>
  <si>
    <t xml:space="preserve">                ค่าเสื่อมราคาและค่าตัดจำหน่าย</t>
  </si>
  <si>
    <t>- 52 -</t>
  </si>
  <si>
    <t>USD  300</t>
  </si>
  <si>
    <t>บริษัท ศรีราชา เอวิเอชั่น จำกัด</t>
  </si>
  <si>
    <t>เลขที่ 530 ซอยสาธุประดิษฐ์ 58  แขวงบางโพงพาง เขตยานนาวา กรุงเทพมหานคร มีสาขา 6 สาขาดังนี้</t>
  </si>
  <si>
    <t xml:space="preserve">        รายได้</t>
  </si>
  <si>
    <t xml:space="preserve">        ค่าใช้จ่าย</t>
  </si>
  <si>
    <t xml:space="preserve">        กำไรจากการดำเนินงาน</t>
  </si>
  <si>
    <t xml:space="preserve">        ค่าใช้จ่ายส่วนกลาง</t>
  </si>
  <si>
    <t xml:space="preserve">        กำไรสุทธิ</t>
  </si>
  <si>
    <t xml:space="preserve">        ที่ดิน อาคาร และอุปกรณ์</t>
  </si>
  <si>
    <t xml:space="preserve">        สินทรัพย์อื่น</t>
  </si>
  <si>
    <t xml:space="preserve">        สินทรัพย์รวม</t>
  </si>
  <si>
    <t xml:space="preserve">        หนี้สินที่จำแนกตามส่วนงานได้</t>
  </si>
  <si>
    <t xml:space="preserve">        หนี้สินที่จำแนกตามส่วนงานไม่ได้</t>
  </si>
  <si>
    <t xml:space="preserve">        หนี้สินรวม</t>
  </si>
  <si>
    <t>ชื่อบริษัท</t>
  </si>
  <si>
    <t>ประเภทกิจการ</t>
  </si>
  <si>
    <t>บมจ.</t>
  </si>
  <si>
    <t>ธนูลักษณ์</t>
  </si>
  <si>
    <t>บะหมี่กึ่งสำเร็จรูป</t>
  </si>
  <si>
    <t>ไทยวาโก้</t>
  </si>
  <si>
    <t>สหพัฒนพิบูล</t>
  </si>
  <si>
    <t>อุปโภคบริโภค</t>
  </si>
  <si>
    <t>บรรจุภัณฑ์พลาสติก</t>
  </si>
  <si>
    <t>พิทักษ์กิจ</t>
  </si>
  <si>
    <t xml:space="preserve">บริการ </t>
  </si>
  <si>
    <t>ไหมทอง</t>
  </si>
  <si>
    <t>ธุรกิจสิ่งแวดล้อม</t>
  </si>
  <si>
    <t>สหชลผลพืช</t>
  </si>
  <si>
    <t>เกษตร</t>
  </si>
  <si>
    <t>เฟิสท์ยูไนเต็ดอินดัสตรี</t>
  </si>
  <si>
    <t>ไลอ้อน (ประเทศไทย)</t>
  </si>
  <si>
    <t>ทรัพย์สินสหพัฒน์</t>
  </si>
  <si>
    <t>เครื่องสำอาง</t>
  </si>
  <si>
    <t>ถุงมือยาง</t>
  </si>
  <si>
    <t>แชมป์เอช</t>
  </si>
  <si>
    <t>ผ้ายืดเพาเวอร์เนท</t>
  </si>
  <si>
    <t>เอส. แอพพาเรล</t>
  </si>
  <si>
    <t>พัฒนาอสังหาริมทรัพย์</t>
  </si>
  <si>
    <t>ระบบขนส่งสินค้า</t>
  </si>
  <si>
    <t>รวมเงินลงทุนในบริษัทร่วม</t>
  </si>
  <si>
    <t>นโยบายการกำหนดราคา</t>
  </si>
  <si>
    <t>อัตราร้อยละ 0.5 - 1 ของมูลค่าวงเงิน</t>
  </si>
  <si>
    <t>ค่าไฟฟ้าไม่เกินกว่าราคาจำหน่ายของ</t>
  </si>
  <si>
    <t xml:space="preserve">     การไฟฟ้าส่วนภูมิภาค</t>
  </si>
  <si>
    <t>ค่าไอน้ำราคาตามสัญญาไม่ต่ำกว่าราคาซื้อ</t>
  </si>
  <si>
    <t>อัตราตามที่ตกลงกันโดยอ้างอิงจากลักษณะ</t>
  </si>
  <si>
    <t xml:space="preserve">     ของการให้บริการ</t>
  </si>
  <si>
    <t>อัตราตามสัญญาโดยพิจารณาจากทำเลที่ตั้ง</t>
  </si>
  <si>
    <t xml:space="preserve">     และต้นทุนในการลงทุนของบริษัทฯ</t>
  </si>
  <si>
    <t>อัตราตามสัญญาหรือตกลงกันโดยพิจารณา</t>
  </si>
  <si>
    <t xml:space="preserve">     ปริมาณของน้ำเสีย </t>
  </si>
  <si>
    <t>อัตราตามสัญญา  ซึ่งเท่ากับลูกค้ารายอื่น</t>
  </si>
  <si>
    <t>อัตราตามที่กำหนดไว้ในสัญญา</t>
  </si>
  <si>
    <t>ค่าไฟฟ้าตามอัตราของการไฟฟ้าส่วนภูมิภาค</t>
  </si>
  <si>
    <t xml:space="preserve">     หักอัตราส่วนลด ค่าไอน้ำราคาตามสัญญา</t>
  </si>
  <si>
    <t xml:space="preserve">ตามที่ผู้ให้บริการกำหนด </t>
  </si>
  <si>
    <t>อัตราตามสัญญาและปริมาณการใช้วัสดุ</t>
  </si>
  <si>
    <t xml:space="preserve">   อุปกรณ์ที่เกิดจริง ตามราคาตลาดทั่วไป</t>
  </si>
  <si>
    <t xml:space="preserve">       รายได้ (ต่อ)</t>
  </si>
  <si>
    <t>1.  ข้อมูลทั่วไป</t>
  </si>
  <si>
    <t>สิ่งปลูกสร้าง</t>
  </si>
  <si>
    <t xml:space="preserve">     </t>
  </si>
  <si>
    <t>เงินสดในมือ</t>
  </si>
  <si>
    <t>เงินฝากกระแสรายวัน</t>
  </si>
  <si>
    <t>เงินฝากออมทรัพย์</t>
  </si>
  <si>
    <t xml:space="preserve">ต้นทุนบริการปัจจุบันและดอกเบี้ย </t>
  </si>
  <si>
    <t>อัตราคิดลด</t>
  </si>
  <si>
    <t xml:space="preserve">อัตราการเพิ่มขึ้นของเงินเดือน </t>
  </si>
  <si>
    <t>อัตราการหมุนเวียนพนักงาน</t>
  </si>
  <si>
    <t>เงินรับล่วงหน้าและเงินประกัน</t>
  </si>
  <si>
    <t xml:space="preserve">                     A  บริษัทถือหุ้น และ/หรือการถือหุ้นร่วมกัน</t>
  </si>
  <si>
    <t>บริษัทถือหุ้น และ/หรือ การถือหุ้นร่วมกัน</t>
  </si>
  <si>
    <t xml:space="preserve">     *  ขึ้นอยู่กับอายุของพนักงาน</t>
  </si>
  <si>
    <t xml:space="preserve"> จำหน่ายด้ายเย็บ</t>
  </si>
  <si>
    <t>ผลิตเส้นใยไฟเบอร์</t>
  </si>
  <si>
    <t xml:space="preserve">                         ค่าบริการ</t>
  </si>
  <si>
    <t>ต้นทุนบวกส่วนเพิ่ม</t>
  </si>
  <si>
    <t xml:space="preserve">     ตามสัญญาจะซื้อจะขาย</t>
  </si>
  <si>
    <t xml:space="preserve">               ค่าใช้จ่ายในการดำเนินงานทางตรง</t>
  </si>
  <si>
    <t xml:space="preserve">                    ก่อให้เกิดรายได้ค่าเช่าและบริการ</t>
  </si>
  <si>
    <t>ของเล่นที่ทำจากผ้า</t>
  </si>
  <si>
    <t>เกี่ยวกับรถยนต์</t>
  </si>
  <si>
    <t>ชิ้นส่วนอุปกรณ์</t>
  </si>
  <si>
    <t>ท้อปเทร็นด์ แมนูแฟคเจอริ่ง</t>
  </si>
  <si>
    <t xml:space="preserve">      แม่สอด</t>
  </si>
  <si>
    <t>อัตราร้อยละ 3.5 - 8 ของราคายอดขายสุทธิ</t>
  </si>
  <si>
    <t xml:space="preserve">      </t>
  </si>
  <si>
    <t>ลูกหนี้การค้า - กิจการที่เกี่ยวข้องกัน</t>
  </si>
  <si>
    <t xml:space="preserve">    รายการค่าใช้จ่ายตามลักษณะประกอบด้วยรายการค่าใช้จ่ายที่สำคัญ  ดังต่อไปนี้</t>
  </si>
  <si>
    <t xml:space="preserve">    วัตถุประสงค์ของบริษัทฯ  ในการบริหารทางการเงินคือ   การดำรงไว้ซึ่งความสามารถในการดำเนินงานอย่างต่อเนื่อง  และ</t>
  </si>
  <si>
    <t xml:space="preserve">    ค่าตอบแทนกรรมการนี้เป็นประโยชน์ที่จ่ายให้แก่กรรมการของบริษัทฯ ตามมาตรา 90 ของพระราชบัญญัติบริษัทมหาชน</t>
  </si>
  <si>
    <t xml:space="preserve">    ค่าตอบแทนกรรมการบริหาร ผู้จัดการและผู้บริหารสี่รายแรกรองจากผู้จัดการลงมา  และผู้บริหารในระดับเทียบเท่ารายที่สี่</t>
  </si>
  <si>
    <t xml:space="preserve">     จากลักษณะของการให้บริการ  จำนวน  </t>
  </si>
  <si>
    <t xml:space="preserve">     ระยะเวลา  รวมถึงต้นทุนในการให้บริการ</t>
  </si>
  <si>
    <t xml:space="preserve">เงินกู้ยืมระยะยาว </t>
  </si>
  <si>
    <t>ธุรกิจเงินลงทุนและอื่นๆ</t>
  </si>
  <si>
    <t>หัก ค่าเผื่อหนี้สงสัยจะสูญ</t>
  </si>
  <si>
    <t>ลูกหนี้การค้า - อื่นๆ</t>
  </si>
  <si>
    <t>อสังหาริมทรัพย์รอการขาย - ลำพูน</t>
  </si>
  <si>
    <t>อสังหาริมทรัพย์รอการขาย - กบินทร์บุรี</t>
  </si>
  <si>
    <t>อสังหาริมทรัพย์รอการขาย - ศรีราชา</t>
  </si>
  <si>
    <t xml:space="preserve">    </t>
  </si>
  <si>
    <t>เงินมัดจำค่าที่ดิน - โครงการนอร์ธปาร์ค</t>
  </si>
  <si>
    <t>หัก  ค่าเผื่อขาดทุนจากการด้อยค่า</t>
  </si>
  <si>
    <t>สุทธิ</t>
  </si>
  <si>
    <t xml:space="preserve">                บริษัทฯ  ทำสัญญาจะซื้อจะขายที่ดินในโครงการนอร์ธปาร์คกับบริษัท  นอร์ธปาร์ค  เรียลเอสเตท  จำกัด  เนื้อที่ประมาณ </t>
  </si>
  <si>
    <t xml:space="preserve">       โอนกรรมสิทธิ์ในที่ดินเมื่อดำเนินการปลูกสร้างอาคารให้แล้วเสร็จ (ภายใน 54 เดือน นับแต่วันทำสัญญา)</t>
  </si>
  <si>
    <t xml:space="preserve">                บริษัทฯ ยังไม่ได้ดำเนินการเกี่ยวกับการก่อสร้างอาคาร ให้เป็นไปตามสัญญา ทำให้อาจเกิดผลเสียจำนวน 18,225,900.00</t>
  </si>
  <si>
    <t xml:space="preserve">       บาท ซึ่งบริษัทฯ ได้บันทึกค่าเผื่อขาดทุนจากการด้อยค่าดังกล่าวแล้ว</t>
  </si>
  <si>
    <t>1</t>
  </si>
  <si>
    <t>บริษัท ธนูลักษณ์ จำกัด (มหาชน)</t>
  </si>
  <si>
    <t>2</t>
  </si>
  <si>
    <t>บริษัท ไทยเพรซิเดนท์ฟูดส์ จำกัด (มหาชน)</t>
  </si>
  <si>
    <t>3</t>
  </si>
  <si>
    <t>บริษัท สหชลผลพืช จำกัด</t>
  </si>
  <si>
    <t>4</t>
  </si>
  <si>
    <t>บริษัท ไลอ้อน (ประเทศไทย) จำกัด</t>
  </si>
  <si>
    <t>5</t>
  </si>
  <si>
    <t>6</t>
  </si>
  <si>
    <t>บริษัท ท้อปเทร็นด์ แมนูแฟคเจอริ่ง จำกัด</t>
  </si>
  <si>
    <t>7</t>
  </si>
  <si>
    <t>บริษัท บูติคนิวซิตี้ จำกัด (มหาชน)</t>
  </si>
  <si>
    <t>บริษัท แพนเอเซียฟุตแวร์ จำกัด (มหาชน)</t>
  </si>
  <si>
    <t>บริษัท ไทยมอนสเตอร์ จำกัด</t>
  </si>
  <si>
    <t>บริษัท ภัทยาอุตสาหกิจ จำกัด</t>
  </si>
  <si>
    <t>บริษัท ไทยซัมซุง อิเลคโทรนิคส์ จำกัด</t>
  </si>
  <si>
    <t>บริษัท ไทยชิกิโบ จำกัด</t>
  </si>
  <si>
    <t>บริษัท จาโนเม่ (ประเทศไทย) จำกัด</t>
  </si>
  <si>
    <t>บริษัท ราชาอูชิโน จำกัด</t>
  </si>
  <si>
    <t>บริษัท ไทยอาราอิ จำกัด</t>
  </si>
  <si>
    <t>บริษัท เอสเอสดีซี (ไทเกอร์เท็กซ์) จำกัด</t>
  </si>
  <si>
    <t>บริษัท ไทยลอตเต้ จำกัด</t>
  </si>
  <si>
    <t>บริษัท ไทยคามาย่า จำกัด</t>
  </si>
  <si>
    <t>บริษัท ไทยสเตเฟล็กซ์ จำกัด</t>
  </si>
  <si>
    <t xml:space="preserve">บริษัท กบินทร์พัฒนกิจ จำกัด </t>
  </si>
  <si>
    <t>บริษัท เท็กซ์ไทล์เพรสทีจ จำกัด (มหาชน)</t>
  </si>
  <si>
    <t>บริษัท มอลเทน (ไทยแลนด์) จำกัด</t>
  </si>
  <si>
    <t>บริษัท สหเซวา จำกัด</t>
  </si>
  <si>
    <t>บริษัท เฟิสท์ยูไนเต็ดอินดัสตรี จำกัด</t>
  </si>
  <si>
    <t>บริษัท อีสเทิร์น ไทยคอนซัลติ้ง 1992 จำกัด</t>
  </si>
  <si>
    <t>บริษัท พี ที เค มัลติเซอร์วิส จำกัด</t>
  </si>
  <si>
    <t>บริษัท พิทักษ์กิจ จำกัด</t>
  </si>
  <si>
    <t>บริษัท สหโคเจน (ชลบุรี) จำกัด (มหาชน)</t>
  </si>
  <si>
    <t>บริษัท ไทยวาโก้ จำกัด (มหาชน)</t>
  </si>
  <si>
    <t>บริษัท สหพัฒนพิบูล จำกัด (มหาชน)</t>
  </si>
  <si>
    <t>บริษัท ฮูเวอร์อุตสาหกรรม (ประเทศไทย) จำกัด</t>
  </si>
  <si>
    <t>บริษัท ไหมทอง จำกัด</t>
  </si>
  <si>
    <t>บริษัท บางกอกรับเบอร์ จำกัด (มหาชน)</t>
  </si>
  <si>
    <t>บริษัท ไทยทาเคดะเลซ จำกัด</t>
  </si>
  <si>
    <t>บริษัท เบทเตอร์เวย์ (ประเทศไทย) จำกัด</t>
  </si>
  <si>
    <t>บริษัท เอช แอนด์ บี อินเตอร์เท็กซ์ จำกัด</t>
  </si>
  <si>
    <t>บริษัท สหโคเจน กรีน จำกัด</t>
  </si>
  <si>
    <t>บริษัท อินเตอร์เนชั่นแนลเลทเธอร์แฟชั่น จำกัด</t>
  </si>
  <si>
    <t>บริษัท นิวซิตี้ (กรุงเทพฯ) จำกัด (มหาชน)</t>
  </si>
  <si>
    <t>บริษัท ประชาอาภรณ์ จำกัด (มหาชน)</t>
  </si>
  <si>
    <t>บริษัท นิวพลัสนิตติ้ง จำกัด (มหาชน)</t>
  </si>
  <si>
    <t>บริษัท ไทยทาคายา จำกัด</t>
  </si>
  <si>
    <t>บริษัท กบินทร์พัฒนกิจ จำกัด</t>
  </si>
  <si>
    <t>บริษัท ฟาร์อีสท์ ดีดีบี จำกัด (มหาชน)</t>
  </si>
  <si>
    <t>บริษัท ไทยกุลแซ่ จำกัด</t>
  </si>
  <si>
    <t>หน่วย : ล้านบาท</t>
  </si>
  <si>
    <t>อัตราดอกเบี้ย</t>
  </si>
  <si>
    <t>ไม่มีอัตรา</t>
  </si>
  <si>
    <t>ลอยตัว</t>
  </si>
  <si>
    <t>คงที่</t>
  </si>
  <si>
    <t>ดอกเบี้ย</t>
  </si>
  <si>
    <t xml:space="preserve">        สินทรัพย์ทางการเงิน</t>
  </si>
  <si>
    <t>เงินสดและรายการเทียบเท่าเงินสด</t>
  </si>
  <si>
    <t xml:space="preserve">        หนี้สินทางการเงิน</t>
  </si>
  <si>
    <t>เงินเบิกเกินบัญชีและเงินกู้ยืมสถาบันการเงิน</t>
  </si>
  <si>
    <t>ส่วนของหนี้สินระยะยาวที่ถึงกำหนดชำระใน 1 ปี</t>
  </si>
  <si>
    <t>เมื่อทวงถาม</t>
  </si>
  <si>
    <t>มากกว่า</t>
  </si>
  <si>
    <t>12 เดือน</t>
  </si>
  <si>
    <t>บริษัท ไทยโคบาชิ จำกัด</t>
  </si>
  <si>
    <t>บริษัท ไทยโทมาโด จำกัด</t>
  </si>
  <si>
    <t>20 - 34  ปี</t>
  </si>
  <si>
    <t>15 - 25 ปี</t>
  </si>
  <si>
    <t xml:space="preserve">        10  ปี</t>
  </si>
  <si>
    <t xml:space="preserve">          5  ปี</t>
  </si>
  <si>
    <t xml:space="preserve">               การกำหนดค่าเสื่อมราคา พิจารณาแต่ละส่วนแยกต่างหากจากกัน เมื่อแต่ละส่วนประกอบนั้นมีสาระสำคัญ</t>
  </si>
  <si>
    <t>A, B, C, E</t>
  </si>
  <si>
    <t>A, B,  E</t>
  </si>
  <si>
    <t>เงินลงทุนในบริษัทมหาชน</t>
  </si>
  <si>
    <t>เงินลงทุนในบริษัทจำกัด</t>
  </si>
  <si>
    <t>บริษัท สินภราดร จำกัด</t>
  </si>
  <si>
    <t>บริษัท เอ็มบีทีเอส โบรกกิ้ง เซอร์วิส จำกัด</t>
  </si>
  <si>
    <t>2559</t>
  </si>
  <si>
    <t>ฮูเวอร์อุตสาหกรรม (ประเทศไทย)</t>
  </si>
  <si>
    <t xml:space="preserve">บจ. </t>
  </si>
  <si>
    <t>รักษาความปลอดภัย ไทยซีคอม (เดิมชื่อ ไทยซีคอมพิทักษ์กิจ)</t>
  </si>
  <si>
    <t>ระบบรักษาความปลอดภัย</t>
  </si>
  <si>
    <t xml:space="preserve">เอส.ที.(ไทยแลนด์) </t>
  </si>
  <si>
    <t>เส-นอร์สห โลจิสติกส์</t>
  </si>
  <si>
    <t>31 ธันวาคม 2559</t>
  </si>
  <si>
    <t xml:space="preserve">             อินเตอร์เนชั่นแนลฯ</t>
  </si>
  <si>
    <t xml:space="preserve">              โปรดักส์</t>
  </si>
  <si>
    <t xml:space="preserve">     บจ. เอ เทค เท็กซ์ไทล์</t>
  </si>
  <si>
    <t>ผลิตวัตถุดิบ</t>
  </si>
  <si>
    <t>สำหรับชุดชั้นในสตรี</t>
  </si>
  <si>
    <t xml:space="preserve">           สปันบอนด์ (ประเทศไทย)</t>
  </si>
  <si>
    <t xml:space="preserve">            สแปนเด็กซ์</t>
  </si>
  <si>
    <t xml:space="preserve">     บจ. เอสเอสดีซี (ไทเกอร์เท็กซ์)</t>
  </si>
  <si>
    <t xml:space="preserve">     บจ. คิวพี (ประเทศไทย) </t>
  </si>
  <si>
    <t xml:space="preserve">     บจ. เบทเตอร์เวย์ (ประเทศไทย)</t>
  </si>
  <si>
    <t xml:space="preserve">           อินเตอร์เท็กซ์</t>
  </si>
  <si>
    <t>เสื้อผ้าสุภาพบุรุษ</t>
  </si>
  <si>
    <t xml:space="preserve">           คอมเพล็กซ์</t>
  </si>
  <si>
    <t>สวนอุตสาหกรรม</t>
  </si>
  <si>
    <t>ผ้าซับในฉาบกาว</t>
  </si>
  <si>
    <t xml:space="preserve">           แอนด์ คอนสตรัคชั่น</t>
  </si>
  <si>
    <t xml:space="preserve">           (ประเทศไทย)</t>
  </si>
  <si>
    <t xml:space="preserve">     บจ. แม่สอด ซาคาเอะเลซ</t>
  </si>
  <si>
    <t>ผลิตลูกไม้</t>
  </si>
  <si>
    <t xml:space="preserve">            แอนด์ ดิสทริบิวชั่น</t>
  </si>
  <si>
    <t>HK$ 2,000</t>
  </si>
  <si>
    <t xml:space="preserve">            (ประเทศไทย)</t>
  </si>
  <si>
    <t>ตกแต่งภายใน</t>
  </si>
  <si>
    <t>USD  100</t>
  </si>
  <si>
    <t xml:space="preserve">             (ประเทศไทย)</t>
  </si>
  <si>
    <t xml:space="preserve">            กอล์ฟคลับ</t>
  </si>
  <si>
    <t>หัก ค่าเผื่อผลขาดทุนจากการด้อยค่า</t>
  </si>
  <si>
    <t xml:space="preserve">           สุทธิ</t>
  </si>
  <si>
    <t xml:space="preserve">          ณ วันที่ 31 ธันวาคม 2559</t>
  </si>
  <si>
    <t xml:space="preserve">     ณ วันที่ 31 ธันวาคม 2559</t>
  </si>
  <si>
    <t xml:space="preserve">         ตามสัญญา จำนวน 100.00 ล้านบาท ภายในวันที่  11  พฤศจิกายน  2559 ส่วนที่เหลือชำระคืนเงินต้นทุก 6 เดือน จำนวน</t>
  </si>
  <si>
    <t xml:space="preserve">     - บริษัท เอส.ที.(ไทยแลนด์) จำกัด</t>
  </si>
  <si>
    <t xml:space="preserve">     - บริษัท โมบาย โลจิสติกส์ จำกัด</t>
  </si>
  <si>
    <t xml:space="preserve">     - บริษัท ทรานสคอสมอส (ไทยแลนด์) จำกัด</t>
  </si>
  <si>
    <t xml:space="preserve">    บริษัทฯ  จะคิดค่าธรรมเนียมการค้ำประกันในอัตราร้อยละ  0.5 - 1  ของมูลค่าวงเงิน  โดยบริษัทฯ  จะจัดเก็บจากบริษัทที่จ่าย</t>
  </si>
  <si>
    <t xml:space="preserve">       ต่างประเทศ  บริษัทฯ  จะไม่เรียกเก็บค่าธรรมเนียมค้ำประกัน</t>
  </si>
  <si>
    <t>อัตราตามสัญญาขึ้นอยู่กับลักษณะ  และ</t>
  </si>
  <si>
    <t xml:space="preserve">กำหนดจากรูปแบบ  ขนาดอาคาร  วัสดุ และ  </t>
  </si>
  <si>
    <t xml:space="preserve">     เทคนิคการตกแต่ง</t>
  </si>
  <si>
    <t>ราคาตลาด หรือ ราคาเทียบเคียงกับ</t>
  </si>
  <si>
    <t xml:space="preserve">     ผู้ให้บริการรายอื่น</t>
  </si>
  <si>
    <t xml:space="preserve">อัตราตามสัญญาอ้างอิงจากจำนวนเจ้าหน้าที่  </t>
  </si>
  <si>
    <t xml:space="preserve">     ระยะเวลา และพื้นที่ในการใช้บริการ</t>
  </si>
  <si>
    <t>กำหนดตามลักษณะงาน ปริมาณ ระยะเวลา</t>
  </si>
  <si>
    <t xml:space="preserve">     ของการใช้บริการ</t>
  </si>
  <si>
    <t xml:space="preserve">   รายการขายยานพาหนะ</t>
  </si>
  <si>
    <t>ในระหว่างปีปัจจุบัน ไม่มีการโอนรายการระหว่างลำดับชั้นของมูลค่ายุติธรรม</t>
  </si>
  <si>
    <t>นายหน้าประกันภัย</t>
  </si>
  <si>
    <t xml:space="preserve">             </t>
  </si>
  <si>
    <t xml:space="preserve">     บจ. ไทยฟลายอิ้ง เมนเท็นแนนซ์</t>
  </si>
  <si>
    <t xml:space="preserve">     บจ. ผลิตภัณฑ์สมุนไพรไทย</t>
  </si>
  <si>
    <t>ตามสัญญา</t>
  </si>
  <si>
    <t xml:space="preserve"> - 15 -</t>
  </si>
  <si>
    <t>- 20 -</t>
  </si>
  <si>
    <t>- 27 -</t>
  </si>
  <si>
    <t>- 36 -</t>
  </si>
  <si>
    <t xml:space="preserve">บริษัท เอส แอนด์ เจ อินเตอร์เนชั่นแนล </t>
  </si>
  <si>
    <t xml:space="preserve">     เอนเตอร์ไพรส์ จำกัด (มหาชน)</t>
  </si>
  <si>
    <t>บริษัท บางกอกโตเกียว ซ็อคส์ จำกัด</t>
  </si>
  <si>
    <t>บริษัท ไทย คิวบิค เทคโนโลยี่ จำกัด</t>
  </si>
  <si>
    <t>บริษัท โอสถ อินเตอร์ แลบบอราทอรีส์ จำกัด</t>
  </si>
  <si>
    <t>บริษัท ไทย อาซาฮี คาเซอิ สแปนเด็กซ์ จำกัด</t>
  </si>
  <si>
    <t>B, E</t>
  </si>
  <si>
    <t>บริษัท เคนมิน ฟู้ดส์ (ไทยแลนด์) จำกัด</t>
  </si>
  <si>
    <t>บริษัท โตโย เท็กซ์ไทล์ ไทย จำกัด</t>
  </si>
  <si>
    <t>บริษัท มอลเท็นเอเซียโพลิเมอร์ โปรดักส์ จำกัด</t>
  </si>
  <si>
    <t>บริษัท รักษาความปลอดภัย ไทยซีคอม จำกัด</t>
  </si>
  <si>
    <t xml:space="preserve">     (เดิมชื่อ บริษัท ไทยซีคอมพิทักษ์กิจ จำกัด)</t>
  </si>
  <si>
    <t>บริษัท ไทยซิลิเกตเคมิคัล จำกัด</t>
  </si>
  <si>
    <t>E, F</t>
  </si>
  <si>
    <t>บริษัท เอ เทค เท็กซ์ไทล์ จำกัด</t>
  </si>
  <si>
    <t>กิจการที่เกี่ยวข้องอื่น</t>
  </si>
  <si>
    <t>บริษัท บีเอ็นซี แม่สอด จำกัด</t>
  </si>
  <si>
    <t>บริษัท อินเตอร์เนชั่นแนล แลบบอราทอรีส์ จำกัด</t>
  </si>
  <si>
    <t>48</t>
  </si>
  <si>
    <t>49</t>
  </si>
  <si>
    <t>50</t>
  </si>
  <si>
    <t>บริษัท ชิเซโด้ โปรเฟสชั่นแนล (ไทยแลนด์) จำกัด</t>
  </si>
  <si>
    <t>51</t>
  </si>
  <si>
    <t>52</t>
  </si>
  <si>
    <t>53</t>
  </si>
  <si>
    <t>54</t>
  </si>
  <si>
    <t>55</t>
  </si>
  <si>
    <t>บริษัท เพรซิเดนท์ เบเกอรี่ จำกัด (มหาชน)</t>
  </si>
  <si>
    <t>บริษัท พี ที เค มัลติเซอร์วิส จำกัด</t>
  </si>
  <si>
    <t>บริษัท ซิงเกอร์ประเทศไทย จำกัด (มหาชน)</t>
  </si>
  <si>
    <t>บริษัท นิปปอน เต ซาโต จำกัด</t>
  </si>
  <si>
    <t>บริษัท ดับเบิ้ลยูบีแอลพี จำกัด</t>
  </si>
  <si>
    <t>บริษัท จี เทค แมททีเรียล จำกัด</t>
  </si>
  <si>
    <t>บริษัท รักษาความปลอดภัย พิทักษ์กิจ จำกัด</t>
  </si>
  <si>
    <t>B, E, F</t>
  </si>
  <si>
    <t>- 58 -</t>
  </si>
  <si>
    <t>- 56 -</t>
  </si>
  <si>
    <t>- 28 -</t>
  </si>
  <si>
    <t>- 21 -</t>
  </si>
  <si>
    <t xml:space="preserve"> - 16 -</t>
  </si>
  <si>
    <t xml:space="preserve">ไอ.ซี.ซี. อินเตอร์เนชั่นแนล </t>
  </si>
  <si>
    <t>สหพัฒน์เรียลเอสเตท</t>
  </si>
  <si>
    <t>บุญ แคปปิตอลโฮลดิ้ง</t>
  </si>
  <si>
    <t>ที.ยู.ซี.อีลาสติค</t>
  </si>
  <si>
    <t xml:space="preserve">บมจ. ไอ.ซี.ซี. อินเตอร์เนชั่นแนล </t>
  </si>
  <si>
    <t xml:space="preserve">     บจ. เอราวัณสิ่งทอ</t>
  </si>
  <si>
    <t xml:space="preserve">     บจ. ไทย อาซาฮี คาเซอิ </t>
  </si>
  <si>
    <t xml:space="preserve">     บจ. จี เทค แมททีเรียล</t>
  </si>
  <si>
    <t xml:space="preserve">     บจ. ไทยซัมซุง อิเลคโทรนิคส์</t>
  </si>
  <si>
    <t xml:space="preserve">     บจ. บางกอกโตเกียว ซ็อคส์</t>
  </si>
  <si>
    <t xml:space="preserve">     บจ. วิจัยและพัฒนา</t>
  </si>
  <si>
    <t xml:space="preserve">            สหโอซูก้า เอเชีย</t>
  </si>
  <si>
    <t xml:space="preserve">     บจ. ชิเซโด้ โปรเฟสชั่นแนล</t>
  </si>
  <si>
    <t xml:space="preserve">     บจ. ซันร้อยแปด</t>
  </si>
  <si>
    <t xml:space="preserve">     บจ. ฟูจิกซ์ อินเตอร์เนชั่นแนล</t>
  </si>
  <si>
    <t xml:space="preserve">     บจ. ไทเกอร์ ดิสทริบิวชั่น </t>
  </si>
  <si>
    <t xml:space="preserve">            แอนด์ โลจิสติคส์</t>
  </si>
  <si>
    <t xml:space="preserve">     บจ. เอช แอนด์ บี  </t>
  </si>
  <si>
    <t xml:space="preserve">     บจ. เวิลด์ สหแฟชั่น</t>
  </si>
  <si>
    <t xml:space="preserve">     บจ. ราชสีมาชอปปิ้ง</t>
  </si>
  <si>
    <t xml:space="preserve">     บจ. โทเทิลเวย์อิมเมจ</t>
  </si>
  <si>
    <t xml:space="preserve">     บจ. ไทยสเตเฟล็กซ์</t>
  </si>
  <si>
    <t xml:space="preserve">     บจ. มอร์แกน เดอ ทัว</t>
  </si>
  <si>
    <t xml:space="preserve">     บจ. โตโย เท็กซ์ไทล์ ไทย</t>
  </si>
  <si>
    <t xml:space="preserve">     บจ. อีสเทิร์น รับเบอร์ </t>
  </si>
  <si>
    <t xml:space="preserve">     บจ. ไทย คิวบิค เทคโนโลยี่</t>
  </si>
  <si>
    <t xml:space="preserve">     บจ. เอ็มซีที โฮลดิ้ง</t>
  </si>
  <si>
    <t xml:space="preserve">     บจ. แวลู แอ๊ดเด็ด เท็กซ์ไทล์</t>
  </si>
  <si>
    <t xml:space="preserve">     บจ. ศรีราชา เอวิเอชั่น</t>
  </si>
  <si>
    <t xml:space="preserve">     บจ. วาเซดะ เอ็ดดูเคชั่น </t>
  </si>
  <si>
    <t>0.375% - 1.25%</t>
  </si>
  <si>
    <t>MOR - อัตราเพิ่มคงที่</t>
  </si>
  <si>
    <t>BIBOR+อัตราเพิ่มคงที่</t>
  </si>
  <si>
    <t xml:space="preserve">ของกำไรสุทธิของแต่ละปี ตามลำดับ </t>
  </si>
  <si>
    <t xml:space="preserve">     - บริษัท โอสถ อินเตอร์ แลบบอราทอรี่ส์ จำกัด</t>
  </si>
  <si>
    <t>สำหรับปี สิ้นสุดวันที่ 31 ธันวาคม 2560</t>
  </si>
  <si>
    <t>บริษัท สหพัฒนาอินเตอร์โฮลดิ้ง จำกัด (มหาชน) และบริษัทย่อย</t>
  </si>
  <si>
    <t xml:space="preserve">     1.2  บริษัทฯ ประกอบธุรกิจลงทุน ธุรกิจให้เช่าและบริการ สวนอุตสาหกรรม (ธุรกิจอสังหาริมทรัพย์) ธุรกิจซื้อขายสินค้า และธุรกิจ</t>
  </si>
  <si>
    <t xml:space="preserve">             ให้เช่าทรัพย์สินระยะยาวหรือให้เช่าแบบลีสซิ่ง โดยมีบริษัทย่อยประกอบธุรกิจอื่นๆ ตามรายละเอียดในหมายเหตุประกอบ</t>
  </si>
  <si>
    <t xml:space="preserve">             งบการเงินข้อ 3</t>
  </si>
  <si>
    <t xml:space="preserve">                   (ลงชื่อ)…………………………….……..……………………………………กรรมการตามอำนาจ</t>
  </si>
  <si>
    <t xml:space="preserve"> - 2 -</t>
  </si>
  <si>
    <t>3.  หลักเกณฑ์การจัดทำงบการเงินรวม</t>
  </si>
  <si>
    <t>อัตราร้อยละของการถือหุ้นหรือส่วนได้เสีย</t>
  </si>
  <si>
    <r>
      <t xml:space="preserve">              </t>
    </r>
    <r>
      <rPr>
        <b/>
        <sz val="16"/>
        <rFont val="Angsana New"/>
        <family val="1"/>
      </rPr>
      <t>ชื่อบริษัท</t>
    </r>
  </si>
  <si>
    <t>ประเภทธุรกิจ</t>
  </si>
  <si>
    <t>จัดตั้งขึ้นใน</t>
  </si>
  <si>
    <t>2560</t>
  </si>
  <si>
    <r>
      <t xml:space="preserve">      </t>
    </r>
    <r>
      <rPr>
        <u val="single"/>
        <sz val="16"/>
        <rFont val="Angsana New"/>
        <family val="1"/>
      </rPr>
      <t>บริษัทย่อยโดยตรง</t>
    </r>
  </si>
  <si>
    <t xml:space="preserve">           บริษัท เพรซิเดนท์อินเตอร์ฟูด จำกัด</t>
  </si>
  <si>
    <t>ให้บริการส่งออกสินค้าบริโภค</t>
  </si>
  <si>
    <t>ประเทศไทย</t>
  </si>
  <si>
    <t>ต่างๆและรับเป็นนายหน้าของ</t>
  </si>
  <si>
    <t xml:space="preserve">บริษัทในเครือไทยเพรซิเดนท์ฟูดส์ </t>
  </si>
  <si>
    <t>จำกัด และบริษัทในเครือ</t>
  </si>
  <si>
    <t xml:space="preserve">      3.2  ยอดคงค้างและรายการบัญชีระหว่างกันของบริษัทฯ กับบริษัทย่อย  และยอดเงินลงทุนตามวิธีส่วนได้เสียกับส่วนของผู้ถือหุ้นของ</t>
  </si>
  <si>
    <t xml:space="preserve">             บริษัทย่อย  ได้ตัดออกในการจัดทำงบการเงินรวม</t>
  </si>
  <si>
    <t xml:space="preserve">      3.3  ผลการดำเนินงานของบริษัทย่อย รวมอยู่ในงบการเงินรวม เริ่มจากวันที่เข้าควบคุมจนถึงวันที่ขายออกไป</t>
  </si>
  <si>
    <t xml:space="preserve"> - 3 -</t>
  </si>
  <si>
    <t xml:space="preserve">      3.4  งบการเงินรวมนี้จัดทำขึ้นโดยใช้นโยบายทางบัญชีเดียวกัน สำหรับรายการบัญชีเหมือนกัน หรือเหตุการณ์ทางบัญชีที่คล้ายคลึงกัน</t>
  </si>
  <si>
    <t xml:space="preserve">             ของบริษัทย่อย ได้ตัดออกในการจัดทำงบการเงินรวม</t>
  </si>
  <si>
    <t xml:space="preserve">      3.5  เมื่อวันที่ 8 มิถุนายน 2560 บริษัทฯ ได้รับโอนสินทรัพย์และหนี้สินทั้งหมดของ บริษัท เพรซิเดนท์โฮลดิ้ง จำกัด และได้รับหุ้นสามัญ</t>
  </si>
  <si>
    <t xml:space="preserve">             ของ บริษัท เพรซิเดนท์อินเตอร์ฟูด จำกัด เป็นสัดส่วนการถือหุ้นร้อยละ 51  และได้นำมาจัดทำงบการเงินรวมตั้งแต่วันที่ 8 มิถุนายน </t>
  </si>
  <si>
    <t xml:space="preserve">             2560   บริษัทฯ ได้รับรู้สินทรัพย์ และหนี้สินของบริษัทย่อยดังกล่าวด้วยมูลค่ายุติธรรม  ผลต่างระหว่าง ต้นทุนการรวมกิจการ กับ</t>
  </si>
  <si>
    <t xml:space="preserve">             มูลค่ายุติธรรมของสินทรัพย์ และหนี้สินที่รับรู้ แสดงเป็นกำไรจากการต่อรองราคาซื้อ ตามหมายเหตุข้อ 5</t>
  </si>
  <si>
    <t>4.  สรุปนโยบายบัญชีที่สำคัญ</t>
  </si>
  <si>
    <t>โดยมีหลักเกณฑ์อัตราการตั้งค่าเผื่อหนี้สงสัยจะสูญของลูกหนี้ตามสัญญาเช่าซื้อในแต่ละงวดดังนี้</t>
  </si>
  <si>
    <t>ร้อยละ</t>
  </si>
  <si>
    <t>ลูกหนี้ปกติและค้างชำระไม่เกิน 1 งวด</t>
  </si>
  <si>
    <t>ลูกหนี้ค้างชำระเกินกว่า 1 งวด</t>
  </si>
  <si>
    <t>ลูกหนี้ค้างชำระเกินกว่า 3 งวด</t>
  </si>
  <si>
    <t>ลูกหนี้ค้างชำระเกินกว่า 6 งวด</t>
  </si>
  <si>
    <t>ลูกหนี้ค้างชำระเกินกว่า 12 งวด</t>
  </si>
  <si>
    <t xml:space="preserve"> - 4 -</t>
  </si>
  <si>
    <t>4.  สรุปนโยบายบัญชีที่สำคัญ (ต่อ)</t>
  </si>
  <si>
    <t>บริษัทฯ บันทึกมูลค่าเริ่มแรกของค่าความนิยมในราคาทุน   ซึ่งเท่ากับต้นทุนการรวมธุรกิจส่วนที่สูงกว่ามูลค่ายุติธรรมของ</t>
  </si>
  <si>
    <t>บริษัทฯ แสดงค่าความนิยมตามราคาทุนหักค่าเผื่อการด้อยค่าสะสม (ถ้ามี) และจะทดสอบการด้อยค่าของค่าความนิยมทุกปี</t>
  </si>
  <si>
    <t xml:space="preserve">                       </t>
  </si>
  <si>
    <t>5.  การรับโอนกิจการ</t>
  </si>
  <si>
    <t xml:space="preserve">               </t>
  </si>
  <si>
    <t>ตามที่ประชุมสามัญผู้ถือหุ้นครั้งที่ 46 เมื่อวันที่ 25 เมษายน 2560 ซึ่งที่ประชุมผู้ถือหุ้นมีมติให้บริษัทฯ รับโอนกิจการทั้งหมด</t>
  </si>
  <si>
    <t xml:space="preserve">     ของ บริษัท เพรซิเดนท์โฮลดิ้ง จำกัด ("PH") รวมถึงการทำคำเสนอซื้อหลักทรัพย์ทั้งหมดใน บริษัท เพรซิเดนท์ไรซ์โปรดักส์ จำกัด</t>
  </si>
  <si>
    <t xml:space="preserve"> - 5 -</t>
  </si>
  <si>
    <t>5.  การรับโอนกิจการ (ต่อ)</t>
  </si>
  <si>
    <t xml:space="preserve">เมื่อวันที่ 8 มิถุนายน 2560 บริษัทฯ ได้เข้ารับโอนกิจการทั้งหมดของ บริษัท เพรซิเดนท์โฮลดิ้ง จำกัด โดยรับโอนสินทรัพย์ต่างๆ </t>
  </si>
  <si>
    <t xml:space="preserve">     ที่เกี่ยวข้องกับกิจการ ซึ่งรวมถึงสิทธิและหนี้สินที่เกี่ยวกับธุรกิจให้เช่าระยะยาวยานพาหนะและเครื่องจักร</t>
  </si>
  <si>
    <t xml:space="preserve">(หน่วย : บาท) </t>
  </si>
  <si>
    <t>สินทรัพย์และหนี้สิน</t>
  </si>
  <si>
    <t>ที่ระบุได้ ณ วันรับโอนกิจการ</t>
  </si>
  <si>
    <t>เงินลงทุนในบริษัท ไทยเพรซิเดนท์ฟูดส์ จำกัด (มหาชน) ("TF")</t>
  </si>
  <si>
    <t>เงินลงทุนในบริษัท เพรซิเดนท์ไรซ์โปรดักส์ จำกัด (มหาชน) ("PR")</t>
  </si>
  <si>
    <t>เงินลงทุนในบริษัท เพรซิเดนท์ เบเกอรี่ จำกัด (มหาชน) ("PB")</t>
  </si>
  <si>
    <t>เงินลงทุนในบริษัท เอส. แพ็ค แอนด์ พริ้นท์ จำกัด (มหาชน) ("SPACK")</t>
  </si>
  <si>
    <t>เงินลงทุนในบริษัท เพรซิเดนท์อินเตอร์ฟูด จำกัด ("PI")</t>
  </si>
  <si>
    <t>เงินลงทุนระยะยาวในบริษัท ศรีราชาขนส่ง จำกัด ("STC")</t>
  </si>
  <si>
    <t>เงินลงทุนระยะยาวในบริษัท ไทซันฟูดส์ จำกัด ("TSC")</t>
  </si>
  <si>
    <t>ลูกหนี้ตามสัญญาเช่าทางการเงิน สุทธิ</t>
  </si>
  <si>
    <t>เงินประกันตามสัญญาเช่าการเงิน</t>
  </si>
  <si>
    <t>สินทรัพย์ไม่หมุนเวียนอื่น</t>
  </si>
  <si>
    <t xml:space="preserve">         สินทรัพย์สุทธิ</t>
  </si>
  <si>
    <t>สิ่งตอบแทนในการจ่ายซื้อ</t>
  </si>
  <si>
    <t>กำไรจากการต่อรองราคาซื้อ</t>
  </si>
  <si>
    <t>เงินสดที่จ่ายไปในการซื้อ</t>
  </si>
  <si>
    <t>กระแสเงินสดจ่ายในการรับโอนกิจการ - สุทธิจากเงินสดและ</t>
  </si>
  <si>
    <t xml:space="preserve">                                 รายการเทียบเท่าเงินสดที่ได้รับ</t>
  </si>
  <si>
    <t xml:space="preserve"> - 6 -</t>
  </si>
  <si>
    <t xml:space="preserve">ตามมาตรฐานการรายงานทางการเงินฉบับที่  3  (ปรับปรุง  2559)  บริษัทฯ จะต้องพิจารณามูลค่ายุติธรรมสุทธิของสินทรัพย์ </t>
  </si>
  <si>
    <t xml:space="preserve">     หนี้สิน  และหนี้สินที่อาจเกิดขึ้นที่ระบุได้จากการรับโอนกิจการของบริษัท เพรซิเดนท์โฮลดิ้ง จำกัด ณ วันที่รับโอน บริษัทฯ ได้ประเมิน</t>
  </si>
  <si>
    <t xml:space="preserve">     มูลค่ายุติธรรมเสร็จสิ้นแล้ว ส่วนต่างของมูลค่าสินทรัพย์สุทธิกับต้นทุนการจ่ายซื้อทั้งสิ้น 817.65 ล้านบาท จึงได้บันทึกเป็น “กำไรจากการ</t>
  </si>
  <si>
    <t xml:space="preserve">     ต่อรองราคาซื้อ” แสดงไว้เป็นรายได้อื่นในงบกำไรขาดทุนเบ็ดเสร็จรวม     </t>
  </si>
  <si>
    <t xml:space="preserve">เนื่องจากการรับโอนกิจการทั้งหมดของ  บริษัท เพรซิเดนท์โฮลดิ้ง จำกัด  บริษัทฯ ได้รับโอนหุ้นในบริษัทดังกล่าวข้างต้น </t>
  </si>
  <si>
    <t xml:space="preserve">     จำนวน 7 บริษัท  มีผลทำให้สัดส่วนการถือหุ้นเปลี่ยนแปลงดังนี้</t>
  </si>
  <si>
    <t>สัดส่วนการถือหุ้น (ร้อยละ)</t>
  </si>
  <si>
    <t>มูลค่าเงินลงทุนหลังการรับโอนกิจการ</t>
  </si>
  <si>
    <t>ก่อนการรับ</t>
  </si>
  <si>
    <t>หลังการรับ</t>
  </si>
  <si>
    <t>โอนกิจการ</t>
  </si>
  <si>
    <t>บริษัท  ไทยเพรซิเดนท์ฟูดส์  จำกัด (มหาชน)</t>
  </si>
  <si>
    <t>บริษัท  เพรซิเดนท์ไรซ์โปรดักซ์  จำกัด (มหาชน)</t>
  </si>
  <si>
    <t>บริษัท  เพรซิเดนท์  เบเกอรี่  จำกัด (มหาชน)</t>
  </si>
  <si>
    <t>บริษัท  เอส.แพ็ค แอนด์ พริ้นท์   จำกัด (มหาชน)</t>
  </si>
  <si>
    <t>บริษัท  เพรซิเดนท์อินเตอร์ฟูด  จำกัด</t>
  </si>
  <si>
    <t>บริษัท  ศรีราชาขนส่ง  จำกัด</t>
  </si>
  <si>
    <t>บริษัท  ไทซันฟูดส์  จำกัด</t>
  </si>
  <si>
    <t>จากการรับโอนกิจการทั้งหมดของ บริษัท เพรซิเดนท์โฮลดิ้ง จำกัด มีผลทำให้ บริษัท เพรซิเดนท์อินเตอร์ฟูด จำกัด เป็นบริษัทย่อย</t>
  </si>
  <si>
    <t xml:space="preserve">     และ บริษัท เพรซิเดนท์ไรซ์โปรดักซ์ จำกัด (มหาชน) และบริษัท เพรซิเดนท์ เบเกอรี่ จำกัด (มหาชน) เป็นบริษัทร่วม</t>
  </si>
  <si>
    <t xml:space="preserve">ณ วันที่ 2 สิงหาคม 2560  บริษัทฯ ได้มีการจำหน่ายเงินลงทุนใน  บริษัท ศรีราชาขนส่ง จำกัด  ให้บริษัทที่เกี่ยวข้องกันแห่งหนึ่ง </t>
  </si>
  <si>
    <t xml:space="preserve">     ในสัดส่วนร้อยละ 20 ทำให้สัดส่วนการถือหุ้นหลังจำหน่าย เป็นร้อยละ 18</t>
  </si>
  <si>
    <t xml:space="preserve">จากการรับโอนสินทรัพย์และหนี้สินทั้งหมดของ บริษัท เพรซิเดนท์โฮลดิ้ง จำกัด   ทำให้บริษัทฯ เป็นผู้ถือหุ้นรายใหญ่ใน </t>
  </si>
  <si>
    <t xml:space="preserve">     บริษัท เพรซิเดนท์อินเตอร์ฟูด จำกัด เป็นสัดส่วนร้อยละ 51 ทำให้บริษัทฯ ได้อำนาจควบคุมในบริษัทดังกล่าว และบันทึกเป็น เงินลงทุน</t>
  </si>
  <si>
    <t xml:space="preserve">     ในบริษัทย่อย ซึ่งมูลค่ายุติธรรมของสินทรัพย์ และหนี้สินในบริษัท เพรซิเดนท์อินเตอร์ฟูด จำกัด เป็นดังนี้</t>
  </si>
  <si>
    <t xml:space="preserve"> - 7 -</t>
  </si>
  <si>
    <t>มูลค่าตามยุติธรรมของกิจการ</t>
  </si>
  <si>
    <t xml:space="preserve"> ณ วันที่ 8 มิถุนายน 2560</t>
  </si>
  <si>
    <t>เงินลงทุนชั่วคราว</t>
  </si>
  <si>
    <t>ลูกหนี้การค้าและลูกหนี้อื่น</t>
  </si>
  <si>
    <t>สินทรัพย์หมุนเวียนอื่น</t>
  </si>
  <si>
    <t>สินทรัพย์ภาษีเงินได้รอตัดบัญชี</t>
  </si>
  <si>
    <t>เจ้าหนี้การค้า และเจ้าหนี้อื่น</t>
  </si>
  <si>
    <t>ภาษีเงินได้นิติบุคคลค้างจ่าย</t>
  </si>
  <si>
    <t>หนี้สินหมุนเวียนอื่น</t>
  </si>
  <si>
    <t>ผลประโยชน์พนักงาน</t>
  </si>
  <si>
    <t>ส่วนของผู้ถือหุ้นที่ไม่มีอำนาจควบคุมในบริษัทย่อย ณ วันซื้อ</t>
  </si>
  <si>
    <t>สินทรัพย์สุทธิที่ได้รับ</t>
  </si>
  <si>
    <t>ตามที่บริษัทฯ  ได้ดำเนินการเข้ารับโอนกิจการทั้งหมดของบริษัท  เพรซิเดนท์โฮลดิ้ง  จำกัด   และได้มาซึ่งหุ้นสามัญใน</t>
  </si>
  <si>
    <t xml:space="preserve">      บริษัท เพรซิเดนท์ไรซ์โปรดักส์ จำกัด (มหาชน) และบริษัท เพรซิเดนท์ เบเกอรี่ จำกัด  (มหาชน)  จนมีสัดส่วนการถือหุ้นข้ามจุดที่ต้อง</t>
  </si>
  <si>
    <t xml:space="preserve">      ทำคำเสนอซื้อหลักทรัพย์ทั้งหมดใน   บริษัท เพรซิเดนท์ไรซ์โปรดักส์ จำกัด (มหาชน)  และบริษัท เพรซิเดนท์ เบเกอรี่ จำกัด  (มหาชน)</t>
  </si>
  <si>
    <t xml:space="preserve">      (Mandatory Tender Offer) บริษัทฯ จึงมีหน้าที่ต้องทำคำเสนอซื้อหลักทรัพย์ทั้งหมดใน บริษัท เพรซิเดนท์ไรซ์โปรดักส์ จำกัด (มหาชน)</t>
  </si>
  <si>
    <t xml:space="preserve">      ที่ราคาหุ้นละ  53.15  บาท  และ บริษัท เพรซิเดนท์  เบเกอรี่  จำกัด  (มหาชน)  ที่ราคาหุ้นละ  58.58  บาท  ตามหลักเกณฑ์ของประกาศ</t>
  </si>
  <si>
    <t xml:space="preserve">      คณะกรรมการกำกับตลาดทุน ที่  ทจ.12/2554 โดย  ณ  วันที่ 1 สิงหาคม 2560 บริษัทฯ ได้รับซื้อหลักทรัพย์ของบริษัท  เพรซิเดนท์ไรซ์</t>
  </si>
  <si>
    <t xml:space="preserve">      โปรดักส์ จำกัด (มหาชน)  ตามที่มีผู้แสดงเจตนาขายจำนวน  691,150  หุ้น คิดเป็นร้อยละ 0.46 ของหุ้นที่จำหน่ายได้แล้วทั้งหมดและ</t>
  </si>
  <si>
    <t xml:space="preserve">      ได้รับซื้อหลักทรัพย์ของบริษัท เพรซิเดนท์ เบเกอรี่ จำกัด (มหาชน) ตามที่มีผู้แสดงเจตนาขาย จำนวน 7,800 หุ้น คิดเป็นร้อยละ 0.00169  </t>
  </si>
  <si>
    <t xml:space="preserve">       ของหุ้นที่จำหน่ายได้แล้วทั้งหมด</t>
  </si>
  <si>
    <t xml:space="preserve"> - 8 -</t>
  </si>
  <si>
    <t xml:space="preserve"> - 9 -</t>
  </si>
  <si>
    <t xml:space="preserve">     4.1  บริษัทฯ  รับรู้รายได้และค่าใช้จ่ายตามเกณฑ์คงค้าง</t>
  </si>
  <si>
    <t xml:space="preserve">     4.2  บริษัทฯ  รับรู้รายได้จากค่าบริการเมื่อได้ให้บริการแก่ลูกค้าแล้ว</t>
  </si>
  <si>
    <t xml:space="preserve">             3 งวดนับจากวันครบกำหนดชำระ การบันทึกรายได้ดอกเบี้ยรับหลังจากนั้นจะบันทึกตามเกณฑ์เงินสดจนกว่าจะได้รับชำระหนี้</t>
  </si>
  <si>
    <t xml:space="preserve">             ที่ค้างเกินกำหนดชำระดังกล่าวแล้ว</t>
  </si>
  <si>
    <t xml:space="preserve">     4.4  บริษัทฯ รับรู้รายได้จากการขายสินค้า เมื่อมีการส่งมอบหลังจากหักรับคืน และส่วนลดจ่าย</t>
  </si>
  <si>
    <t xml:space="preserve">     4.5  บริษัทฯ รับรู้รายได้จากเงินปันผล เมื่อมีการประกาศจ่าย</t>
  </si>
  <si>
    <t xml:space="preserve">     4.6  บริษัทฯ รับรู้รายได้ดอกเบี้ยจากการให้เช่าซื้อและจากสัญญาเช่าการเงินตามเกณฑ์คงค้าง โดยรับรู้รายได้ตามวิธีอัตราดอกเบี้ย</t>
  </si>
  <si>
    <t xml:space="preserve">     4.7  เงินสดและรายการเทียบเท่าเงินสด</t>
  </si>
  <si>
    <t xml:space="preserve">     4.8  ค่าเผื่อหนี้สงสัยจะสูญ</t>
  </si>
  <si>
    <t xml:space="preserve">            แต่ละรายประกอบ</t>
  </si>
  <si>
    <t xml:space="preserve">     4.9  ลูกหนี้ตามสัญญาเช่าซื้อและสัญญาเช่าการเงิน และค่าเผื่อหนี้สงสัยจะสูญ</t>
  </si>
  <si>
    <t xml:space="preserve">             ให้กับผู้ซื้อแล้ว</t>
  </si>
  <si>
    <t xml:space="preserve">     4.3  บริษัทฯ รับรู้รายได้จากการขายอสังหาริมทรัพย์เมื่อได้โอนความเสี่ยง และผลตอบแทนที่เป็นสาระสำคัญของความเป็นเจ้าของ</t>
  </si>
  <si>
    <t xml:space="preserve">      3.1 งบการเงินรวมนี้ได้รวมงบการเงินของบริษัท สหพัฒนาอินเตอร์โฮลดิ้ง จำกัด (มหาชน) และบริษัทย่อย ซึ่งถือหลักเกณฑ์การรวม</t>
  </si>
  <si>
    <t xml:space="preserve">             เฉพาะบริษัทย่อย ซึ่งบริษัท สหพัฒนาอินเตอร์โฮลดิ้ง จำกัด (มหาชน) มีอำนาจในการควบคุมดังนี้   </t>
  </si>
  <si>
    <t xml:space="preserve"> - 10 -</t>
  </si>
  <si>
    <t xml:space="preserve">     4.10  สินค้าคงเหลือ</t>
  </si>
  <si>
    <t>เงินสดและรายการเทียบเท่าเงินสด ได้แก่ เงินสดในมือ และเงินฝากธนาคารระยะเวลาไม่เกิน 3 เดือน</t>
  </si>
  <si>
    <t xml:space="preserve">               ถัวเฉลี่ยถ่วงน้ำหนัก (Weighted average)</t>
  </si>
  <si>
    <t xml:space="preserve">     4.12  เงินลงทุนในบริษัทร่วม</t>
  </si>
  <si>
    <t xml:space="preserve">     4.13  เงินลงทุนในตราสารทุน</t>
  </si>
  <si>
    <t xml:space="preserve">               จนกระทั่งบริษัทฯ จำหน่ายเงินลงทุนนั้น จึงบันทึกมูลค่าที่เปลี่ยนแปลงดังกล่าวในงบกำไรขาดทุนเบ็ดเสร็จ</t>
  </si>
  <si>
    <t xml:space="preserve"> - 11 -</t>
  </si>
  <si>
    <t xml:space="preserve">            </t>
  </si>
  <si>
    <t xml:space="preserve">บริษัทฯ  ตั้งค่าเผื่อหนี้สงสัยจะสูญจากลูกหนี้ที่คาดว่าจะเรียกเก็บเงินไม่ได้  โดยพิจารณาและวิเคราะห์สถานะของลูกหนี้ </t>
  </si>
  <si>
    <t>ลูกหนี้ตามสัญญาเช่าซื้อและสัญญาเช่าการเงิน แสดงตามมูลค่าสุทธิที่จะได้รับ โดยแสดงด้วยจำนวนหนี้คงเหลือตามสัญญา</t>
  </si>
  <si>
    <t xml:space="preserve">             หักด้วยดอกผลเช่าซื้อรอตัดบัญชีและค่าเผื่อหนี้สงสัยจะสูญ บริษัทฯ ตั้งค่าเผื่อหนี้สงสัยจะสูญสำหรับผลขาดทุนโดยประมาณที่</t>
  </si>
  <si>
    <t xml:space="preserve">             อาจเกิดขึ้นจากการเก็บเงินจากลูกหนี้ไม่ได้ ซึ่งโดยทั่วไปพิจารณาจากประสบการณ์การเก็บเงินและการวิเคราะห์อายุลูกหนี้ บริษัทฯ</t>
  </si>
  <si>
    <t xml:space="preserve">             ตั้งค่าเผื่อหนี้สงสัยจะสูญตามอัตรา ดังต่อไปนี้</t>
  </si>
  <si>
    <t>สินค้าคงเหลือแสดงด้วยราคาทุนหรือมูลค่าสุทธิที่จะได้รับแล้วแต่ราคาใดจะต่ำกว่า  ราคาทุนของสินค้าคำนวณโดยวิธี</t>
  </si>
  <si>
    <t>เงินลงทุนในบริษัทร่วม  เป็นเงินลงทุนในกิจการที่เข้าไปลงทุนจนถือว่ามีอิทธิพลอย่างมีนัยสำคัญ   แต่ไม่มีอำนาจเข้าไปมี</t>
  </si>
  <si>
    <t>เงินลงทุนระยะยาวที่เป็นเงินลงทุนในตราสารทุนในความต้องการของตลาด - ในประเทศ  ซึ่งบริษัทฯ ถือเป็นหลักทรัพย์</t>
  </si>
  <si>
    <t xml:space="preserve">               เผื่อขายแสดงด้วยมูลค่ายุติธรรม ผลต่างระหว่างราคาตามบัญชีกับมูลค่ายุติธรรมแสดงเป็นกำไร(ขาดทุน) ที่ยังไม่เกิดขึ้นจากการ</t>
  </si>
  <si>
    <t xml:space="preserve">               บันทึกมูลค่าที่เปลี่ยนแปลงดังกล่าวในงบกำไรขาดทุน</t>
  </si>
  <si>
    <t xml:space="preserve">               เปลี่ยนแปลงมูลค่าของเงินลงทุนไว้เป็นรายการแยกต่างหากในส่วนของผู้ถือหุ้นจนกระทั่งบริษัทฯ  จำหน่ายเงินลงทุนนั้นจึง</t>
  </si>
  <si>
    <t>เงินลงทุนระยะยาวที่เป็นเงินลงทุนในความต้องการของตลาด - ต่างประเทศ  ซึ่งบริษัทฯ ถือเป็นหลักทรัพย์เผื่อขายแสดง</t>
  </si>
  <si>
    <t xml:space="preserve">               ด้วยมูลค่ายุติธรรม โดยแปลงค่าเป็นเงินบาทตามอัตราแลกเปลี่ยน ณ วันสิ้นงวด ผลต่างระหว่างราคาตามบัญชีกับมูลค่ายุติธรรม</t>
  </si>
  <si>
    <t xml:space="preserve">               แสดงเป็นกำไร (ขาดทุน) ที่ยังไม่เกิดขึ้นจากการเปลี่ยนแปลงมูลค่าของเงินลงทุนไว้เป็นรายการแยกต่างหากในส่วนของผู้ถือหุ้น</t>
  </si>
  <si>
    <t>ต้นทุนของเงินลงทุนระยะยาวที่จำหน่ายระหว่างปี  คำนวณโดยใช้วิธีถัวเฉลี่ยถ่วงน้ำหนัก</t>
  </si>
  <si>
    <t>เงินลงทุนระยะยาวที่เป็นเงินลงทุนในตราสารทุนที่ไม่อยู่ในความต้องการของตลาด - ต่างประเทศ  ซึ่งบริษัทฯ ถือเป็น</t>
  </si>
  <si>
    <t>เงินลงทุนระยะยาวที่เป็นเงินลงทุนในตราสารทุนที่ไม่อยู่ในความต้องการของตลาด - ในประเทศ  ซึ่งบริษัทฯ ถือเป็น</t>
  </si>
  <si>
    <t xml:space="preserve">               เงินลงทุนทั่วไปแสดงในราคาทุนปรับลดด้วยค่าเผื่อการด้อยค่าของเงินลงทุน</t>
  </si>
  <si>
    <t xml:space="preserve">               เงินลงทุนทั่วไปแสดงในราคาทุนปรับลดด้วยค่าเผื่อการด้อยค่าของเงินลงทุน  โดยแปลงค่าเป็นเงินบาทตามอัตราแลกเปลี่ยน </t>
  </si>
  <si>
    <t xml:space="preserve">               ณ วันที่เกิดรายการ</t>
  </si>
  <si>
    <t xml:space="preserve">     4.14  ค่าความนิยม </t>
  </si>
  <si>
    <t xml:space="preserve">               สินทรัพย์สุทธิที่ได้มา หากมูลค่ายุติธรรมของสินทรัพย์สุทธิที่ได้มาสูงกว่าต้นทุนการรวมธุรกิจ บริษัทฯ จะรับรู้ส่วนที่สูงกว่านี้เป็น</t>
  </si>
  <si>
    <t xml:space="preserve">               กำไรในส่วนของกำไรหรือขาดทุนทันที</t>
  </si>
  <si>
    <t xml:space="preserve">               หรือเมื่อใดก็ตามที่มีข้อบ่งชี้ของการด้อยค่าเกิดขึ้น</t>
  </si>
  <si>
    <t xml:space="preserve">     4.15  อสังหาริมทรัพย์เพื่อการลงทุน</t>
  </si>
  <si>
    <t xml:space="preserve">              </t>
  </si>
  <si>
    <t xml:space="preserve">อสังหาริมทรัพย์เพื่อการลงทุน ได้แก่ อสังหาริมทรัพย์ที่ถือครองเพื่อหาประโยชน์จากรายได้ค่าเช่า หรือจากมูลค่าที่เพิ่มขึ้น </t>
  </si>
  <si>
    <t xml:space="preserve">               หรือทั้งสองอย่าง  ทั้งนี้ไม่ได้มีไว้เพื่อขายตามปกติธุรกิจ  หรือใช้ในการผลิต  หรือจัดหาสินค้า  หรือให้บริการ  หรือใช้ในการ</t>
  </si>
  <si>
    <t xml:space="preserve">               บริหารงาน</t>
  </si>
  <si>
    <t xml:space="preserve">อสังหาริมทรัพย์เพื่อการลงทุน แสดงด้วยราคาทุนหักค่าเสื่อมราคาสะสมและค่าเผื่อผลขาดทุนจากการด้อยค่าของสินทรัพย์ </t>
  </si>
  <si>
    <t xml:space="preserve">               (ถ้ามี) ค่าเสื่อมราคาสำหรับอสังหาริมทรัพย์เพื่อการลงทุน คำนวณโดยวิธีเส้นตรงในระยะเวลา 20 - 34 ปี</t>
  </si>
  <si>
    <t xml:space="preserve">     4.16  ที่ดิน อาคารและอุปกรณ์</t>
  </si>
  <si>
    <t xml:space="preserve">ที่ดิน อาคาร และอุปกรณ์ บันทึกราคาสินทรัพย์ในราคาทุน ราคาทุนประกอบด้วย ต้นทุนเริ่มแรกเพื่อให้ได้มาซึ่งสินทรัพย์ </t>
  </si>
  <si>
    <t xml:space="preserve">               ต้นทุนการรื้อถอน  การขนย้าย  และการบูรณะสภาพของสินทรัพย์หักด้วยค่าเสื่อมราคาสะสม  และค่าเผื่อการด้อยค่า  (ถ้ามี)</t>
  </si>
  <si>
    <t>อาคาร และอุปกรณ์ ตัดค่าเสื่อมราคาโดยใช้วิธีเส้นตรงตามอายุการใช้งานโดยประมาณของสินทรัพย์มีดังต่อไปนี้</t>
  </si>
  <si>
    <t>อาคาร และสิ่งปลูกสร้าง</t>
  </si>
  <si>
    <t>ระบบสาธารณูปโภค</t>
  </si>
  <si>
    <t>ถนน และทางเท้า</t>
  </si>
  <si>
    <t>สินทรัพย์อื่น</t>
  </si>
  <si>
    <t xml:space="preserve"> - 12 -</t>
  </si>
  <si>
    <t>ต้นทุนการพัฒนาที่ดิน แสดงในราคาทุน ซึ่งประกอบด้วยต้นทุนในการได้มาซึ่งที่ดิน ค่าพัฒนาที่ดิน ค่าใช้จ่ายและดอกเบี้ย</t>
  </si>
  <si>
    <t xml:space="preserve">               ที่เกี่ยวข้องกับโครงการ   </t>
  </si>
  <si>
    <t>ค่าเผื่อการด้อยค่าของสินทรัพย์ คือ จำนวนของมูลค่าตามบัญชีที่สูงกว่ามูลค่าที่คาดว่าจะได้รับคืนของสินทรัพย์ ซึ่งจะบันทึก</t>
  </si>
  <si>
    <t>บัญชีที่เป็นเงินตราต่างประเทศแปลงค่าเป็นเงินบาทโดยใช้อัตราแลกเปลี่ยน ณ วันที่เกิดรายการ</t>
  </si>
  <si>
    <t xml:space="preserve">สินทรัพย์และหนี้สินที่เป็นเงินตราต่างประเทศ  ณ  วันสิ้นปี   แปลงค่าเป็นเงินบาทโดยใช้อัตราแลกเปลี่ยน  ณ  วันนั้น </t>
  </si>
  <si>
    <t>กำไรขาดทุนจากการแปลงค่าแสดงรวมไว้ในงบกำไรขาดทุนเบ็ดเสร็จ</t>
  </si>
  <si>
    <t xml:space="preserve">     4.20  สิทธิการเช่า</t>
  </si>
  <si>
    <t>สิทธิการเช่าแสดงในราคาทุนสุทธิจากการตัดจ่ายตามระยะเวลาของสัญญาเช่า</t>
  </si>
  <si>
    <t xml:space="preserve">     4.17  ต้นทุนการพัฒนาที่ดิน</t>
  </si>
  <si>
    <t xml:space="preserve">     4.18  ค่าเผื่อการด้อยค่าของสินทรัพย์</t>
  </si>
  <si>
    <t xml:space="preserve">                เป็นผลขาดทุนจากการด้อยค่าในงบกำไรขาดทุนเบ็ดเสร็จ และเมื่อมีข้อบ่งชี้แสดงให้เห็นว่ารายการขาดทุนจากการด้อยค่านั้นได้</t>
  </si>
  <si>
    <t xml:space="preserve">                ลดลงอย่างเป็นสาระสำคัญ จะบันทึกเป็นรายการขาดทุนของการด้อยค่าสินทรัพย์กลับบัญชีซึ่งแสดงในงบกำไรขาดทุนเบ็ดเสร็จ</t>
  </si>
  <si>
    <t xml:space="preserve">     4.19  บัญชีที่เป็นเงินตราต่างประเทศ</t>
  </si>
  <si>
    <t xml:space="preserve">                ซึ่งกำหนดโดยธนาคารแห่งประเทศไทย</t>
  </si>
  <si>
    <t xml:space="preserve">     4.21  สินทรัพย์ไม่มีตัวตน</t>
  </si>
  <si>
    <t>สินทรัพย์ไม่มีตัวตน ประกอบด้วย โปรแกรมคอมพิวเตอร์ รอตัดจ่ายภายใน 10 ปี ส่วนค่าใช้จ่ายอื่นรอการตัดจ่าย ตัดจ่าย</t>
  </si>
  <si>
    <t xml:space="preserve">               ภายใน 5 ปี</t>
  </si>
  <si>
    <t xml:space="preserve">     4.22  ภาษีเงินได้</t>
  </si>
  <si>
    <t xml:space="preserve">   ตามหลักเกณฑ์ที่กำหนดในกฎหมายภาษีอากร</t>
  </si>
  <si>
    <t xml:space="preserve">   บริษัทฯ รับรู้หนี้สินภาษีเงินได้รอการตัดบัญชีของผลแตกต่างชั่วคราวที่ต้องเสียภาษีทุกรายการ แต่รับรู้สินทรัพย์ ภาษีเงินได้</t>
  </si>
  <si>
    <t xml:space="preserve">   บริษัทฯ บันทึกภาษีเงินได้ปัจจุบันตามจำนวนที่คาดว่าจะจ่ายให้กับหน่วยงานจัดเก็บภาษีของรัฐ โดยคำนวณจากกำไรทางภาษี</t>
  </si>
  <si>
    <t xml:space="preserve">   บริษัทฯ บันทึกภาษีเงินได้รอการตัดบัญชีของผลแตกต่างชั่วคราวระหว่างราคาตามบัญชีของสินทรัพย์ และหนี้สิน </t>
  </si>
  <si>
    <t xml:space="preserve">   รอการตัดบัญชีสำหรับผลแตกต่างชั่วคราวที่ใช้หักภาษี  รวมทั้งผลขาดทุนทางภาษีที่ยังไม่ได้ใช้ในจำนวนเท่าที่มีความเป็น</t>
  </si>
  <si>
    <t xml:space="preserve">   ไปได้ค่อนข้างแน่ที่บริษัทฯจะมีกำไรทางภาษีในอนาคตเพียงพอที่จะใช้ประโยชน์จากผลแตกต่างชั่วคราวที่ใช้หักภาษีและ</t>
  </si>
  <si>
    <t xml:space="preserve">   ผลขาดทุนทางภาษีที่ยังไม่ได้ใช้นั้น  </t>
  </si>
  <si>
    <t xml:space="preserve">   บริษัทฯ  จะทบทวนมูลค่าตามบัญชีของสินทรัพย์ภาษีเงินได้รอการตัดบัญชีทุกสิ้นรอบระยะเวลารายงานและจะทำการ</t>
  </si>
  <si>
    <t xml:space="preserve">   ปรับลดมูลค่าตามบัญชีดังกล่าว  หากมีความเป็นไปได้ค่อนข้างแน่ว่า บริษัทฯ จะไม่มีกำไรทางภาษีเพียงพอต่อการนำ</t>
  </si>
  <si>
    <t xml:space="preserve">   สินทรัพย์ภาษีเงินได้รอการตัดบัญชีทั้งหมดหรือบางส่วนมาใช้ประโยชน์ บริษัทฯ จะบันทึกภาษีเงินได้รอการตัดบัญชี</t>
  </si>
  <si>
    <t xml:space="preserve">   โดยตรงไปยังส่วนของผู้ถือหุ้น หากภาษีที่เกิดขึ้นเกี่ยวข้องกับรายการที่ได้บันทึกโดยตรงไปยังส่วนของผู้ถือหุ้น</t>
  </si>
  <si>
    <t xml:space="preserve">     4.23  กำไรต่อหุ้น</t>
  </si>
  <si>
    <t xml:space="preserve">               จำหน่ายและเรียกชำระแล้ว </t>
  </si>
  <si>
    <t xml:space="preserve">               ทั้งสิ้นให้เป็นหุ้นสามัญ โดยสมมติว่าได้มีการแปลงเป็นหุ้นสามัญ ณ วันต้นปีหรือ ณ วันออกหุ้นสามัญเทียบเท่า</t>
  </si>
  <si>
    <t xml:space="preserve">               และเรียกชำระแล้ว บวกด้วยจำนวนถัวเฉลี่ยถ่วงน้ำหนักของหุ้นสามัญที่บริษัทฯ อาจต้องออกเพื่อแปลงหุ้นสามัญเทียบเท่าปรับลด </t>
  </si>
  <si>
    <t xml:space="preserve">     4.24  รายการกับบุคคลและกิจการที่เกี่ยวข้องกัน</t>
  </si>
  <si>
    <t>บุคคลและกิจการที่เกี่ยวข้องกัน หมายถึง บุคคลและกิจการที่มีความเกี่ยวข้องกันกับกลุ่มบริษัท และบริษัท โดยการถือหุ้น</t>
  </si>
  <si>
    <t xml:space="preserve">               ร่วมกันหรือการมีผู้ถือหุ้น  หรือกรรมการบางส่วนร่วมกัน  รายการบัญชีที่เกิดขึ้นได้กำหนดโดยใช้ราคาตามปกติทางการค้ากับ</t>
  </si>
  <si>
    <t xml:space="preserve">               บริษัทอื่น</t>
  </si>
  <si>
    <t xml:space="preserve">     4.25  ประมาณการหนี้สิน </t>
  </si>
  <si>
    <t>บริษัทฯ  จะบันทึกประมาณการหนี้สินเมื่อมีความเป็นไปได้ค่อนข้างแน่ของการเกิดภาระผูกพันในปัจจุบันตามกฎหมาย</t>
  </si>
  <si>
    <t xml:space="preserve">               หรือจากการอนุมานอันเป็นผลสืบเนื่องมาจากเหตุการณ์ในอดีต  ภาระผูกพันดังกล่าวคาดว่าจะส่งผลให้สูญเสียทรัพยากรที่มี</t>
  </si>
  <si>
    <t xml:space="preserve">               ประโยชน์เชิงเศรษฐกิจ เพื่อจ่ายชำระภาระผูกพันและจำนวนที่ต้องจ่ายสามารถประมาณการได้อย่างน่าเชื่อถือ   หากบริษัทฯ </t>
  </si>
  <si>
    <t xml:space="preserve">               คาดว่าจะได้รับคืนรายจ่ายที่จ่ายชำระไปตามประมาณการหนี้สินทั้งหมดหรือบางส่วนอย่างแน่นอน  บริษัทฯ จะรับรู้รายจ่ายที่</t>
  </si>
  <si>
    <t xml:space="preserve">               ได้รับคืนเป็นสินทรัพย์แยกต่างหากแต่ต้องไม่เกินจำนวนประมาณการหนี้สินที่เกี่ยวข้อง</t>
  </si>
  <si>
    <t xml:space="preserve">     4.26  ผลประโยชน์พนักงาน </t>
  </si>
  <si>
    <t xml:space="preserve">               4.26.1 กองทุนสำรองเลี้ยงชีพ</t>
  </si>
  <si>
    <t xml:space="preserve">                            </t>
  </si>
  <si>
    <t xml:space="preserve">               สินทรัพย์ของกองทุนสำรองเลี้ยงชีพได้แยกออกไปจากสินทรัพย์ของบริษัท และได้รับการบริหารโดยผู้จัดการกองทุนภายนอก</t>
  </si>
  <si>
    <t xml:space="preserve"> บริษัทฯ  จัดให้มีกองทุนสำรองเลี้ยงชีพ  ซึ่งเป็นลักษณะของแผนการจ่ายสมทบตามที่ได้กำหนดการจ่ายสมทบไว้แล้ว</t>
  </si>
  <si>
    <t xml:space="preserve">               กองทุนสำรองเลี้ยงชีพดังกล่าวได้รับเงินสะสมเข้ากองทุนจากพนักงาน และเงินสมทบจากบริษัทเงินจ่ายสมทบกองทุนสำรอง</t>
  </si>
  <si>
    <t xml:space="preserve">               เลี้ยงชีพบันทึกเป็นค่าใช้จ่ายในงบกำไรขาดทุนเบ็ดเสร็จสำหรับรอบระยะเวลาบัญชีที่เกิดรายการนั้น</t>
  </si>
  <si>
    <t xml:space="preserve">               4.26.2 ผลประโยชน์พนักงาน</t>
  </si>
  <si>
    <t xml:space="preserve"> บริษัทฯ  จัดให้มีผลประโยชน์ของพนักงานหลังการเลิกจ้าง เพื่อจ่ายให้พนักงานเป็นไปตามกฎหมายแรงงานไทย</t>
  </si>
  <si>
    <t xml:space="preserve">               มูลค่าปัจจุบันของหนี้สินผลประโยชน์พนักงานได้ถูกรับรู้รายการในงบการเงินโดยการประมาณการตามหลักคณิตศาสตร์</t>
  </si>
  <si>
    <t xml:space="preserve">               ประกันภัยจากผู้เชี่ยวชาญอิสระ (นักคณิตศาสตร์ประกันภัย) ด้วยใช้วิธีคิดลดแต่ละหน่วยที่ประมาณการไว้ (Projected Unit </t>
  </si>
  <si>
    <t xml:space="preserve">               Credit Method) ภายใต้สมมติฐานเกี่ยวกับเหตุการณ์ในอนาคตที่บริษัทฯ กำหนดขึ้นอย่างเหมาะสม</t>
  </si>
  <si>
    <t xml:space="preserve"> ผลกำไรหรือขาดทุนจากการประมาณการตามหลักคณิตศาสตร์ประกันภัย สำหรับโครงการผลประโยชน์พนักงาน</t>
  </si>
  <si>
    <t xml:space="preserve">               หลังออกจากงานของพนักงานจะรับรู้ทันทีในงบกำไรขาดทุนเบ็ดเสร็จอื่น</t>
  </si>
  <si>
    <t xml:space="preserve">     4.27  ส่วนงานดำเนินงาน</t>
  </si>
  <si>
    <t xml:space="preserve">               ข้อมูลภายในที่ได้รายงานต่อผู้มีอำนาจ ตัดสินใจสูงสุดด้านการดำเนินงานของบริษัทฯอย่างสม่ำเสมอ</t>
  </si>
  <si>
    <t xml:space="preserve">               นำเสนอในงบการเงินของบริษัทฯ และไม่มีผลกระทบต่อสินทรัพย์ หนี้สิน หรือกำไรต่อหุ้นของบริษัทฯ</t>
  </si>
  <si>
    <t xml:space="preserve">     4.28 การวัดมูลค่ายุติธรรม</t>
  </si>
  <si>
    <t xml:space="preserve">              ทางการเงินและไม่ใช่ทางการเงิน</t>
  </si>
  <si>
    <t xml:space="preserve">              มีความรับผิดชอบโดยรวมต่อการวัดมูลค่ายุติธรรมที่มีนัยสำคัญ  รวมถึงการวัดมูลค่ายุติธรรมระดับ  3  และรายงานโดยตรง</t>
  </si>
  <si>
    <t xml:space="preserve">              ต่อผู้บริหารสูงสุดทางด้านการเงิน</t>
  </si>
  <si>
    <t xml:space="preserve">              มีการใช้ข้อมูลจากบุคคลที่สามเพื่อวัดมูลค่ายุติธรรม เช่น ราคาจากนายหน้า หรือการตั้งราคาผู้ประเมินได้ประเมินหลักฐาน</t>
  </si>
  <si>
    <t xml:space="preserve">              ที่ได้มาจากบุคคลที่สามที่สนับสนุนข้อสรุปเกี่ยวกับการวัดมูลค่ารวมถึงการจัดระดับชั้นของมูลค่ายุติธรรมว่าเป็นไปตาม</t>
  </si>
  <si>
    <t xml:space="preserve">              ที่กำหนดไว้ในมาตรฐานการรายงานทางการเงินอย่างเหมาะสม</t>
  </si>
  <si>
    <t xml:space="preserve">     4.28 การวัดมูลค่ายุติธรรม (ต่อ)</t>
  </si>
  <si>
    <t xml:space="preserve">              ยุติธรรมเหล่านี้ถูกจัดประเภทในแต่ละลำดับชั้นของมูลค่ายุติธรรมตามข้อมูลที่ใช้ในการประเมินมูลค่าดังนี้</t>
  </si>
  <si>
    <t xml:space="preserve">              ยุติธรรมในภาพรวม การวัดมูลค่ายุติธรรมในภาพรวมจะถูกจัดประเภทในระดับเดียวกันกับลำดับชั้นของมูลค่ายุติธรรมของ</t>
  </si>
  <si>
    <t xml:space="preserve">              ข้อมูลที่อยู่ในระดับต่ำสุดที่มีนัยสำคัญสำหรับการวัดมูลค่ายุติธรรมในภาพรวม</t>
  </si>
  <si>
    <t xml:space="preserve">     4.29 การใช้ดุลยพินิจและประมาณการทางบัญชีที่สำคัญ</t>
  </si>
  <si>
    <t xml:space="preserve">              ในเรื่องที่มีความไม่แน่นอนเสมอ  การใช้ดุลยพินิจและการประมาณการดังกล่าวนี้ส่ง   ผลกระทบต่อจำนวนเงินที่แสดงใน</t>
  </si>
  <si>
    <t xml:space="preserve">              การใช้ดุลยพินิจและการประมาณการที่สำคัญมีดังนี้</t>
  </si>
  <si>
    <t xml:space="preserve">              งบการเงินและต่อข้อมูลที่แสดงในหมายเหตุประกอบงบการเงิน ผลที่เกิดขึ้นจริงอาจแตกต่างไปจากจำนวนที่ประมาณการไว้ </t>
  </si>
  <si>
    <t xml:space="preserve">              จะเกิดขึ้นจากลูกหนี้แต่ละราย โดยคำนึงถึงประสบการณ์การเก็บเงินในอดีต อายุของหนี้ที่คงค้างและสภาวะเศรษฐกิจที่เป็นอยู่</t>
  </si>
  <si>
    <t xml:space="preserve">              ในขณะนั้น เป็นต้น</t>
  </si>
  <si>
    <t xml:space="preserve">              ดังกล่าวได้ลดลงอย่างมีสาระสำคัญและเป็นระยะเวลานานหรือเมื่อมีข้อบ่งชี้ของการด้อยค่า การที่จะสรุปว่าเงินลงทุนดังกล่าว</t>
  </si>
  <si>
    <t xml:space="preserve">              ได้ลดลงอย่างมีสาระสำคัญหรือเป็นระยะเวลานานหรือไม่นั้นจำเป็นต้องใช้ดุลยพินิจของฝ่ายบริหาร</t>
  </si>
  <si>
    <t xml:space="preserve">               มูลค่าคงเหลือเมื่อเลิกใช้งานของอาคารและอุปกรณ์  และต้องทบทวนอายุการให้ประโยชน์และมูลค่าคงเหลือใหม่หากมีการ</t>
  </si>
  <si>
    <t xml:space="preserve">               เปลี่ยนแปลงเกิดขึ้น</t>
  </si>
  <si>
    <t xml:space="preserve">     4.29 การใช้ดุลยพินิจและประมาณการทางบัญชีที่สำคัญ (ต่อ)</t>
  </si>
  <si>
    <t xml:space="preserve">               จากการด้อยค่าหากคาดว่ามูลค่าที่คาดว่าจะได้รับคืนต่ำกว่ามูลค่าตามบัญชีของสินทรัพย์นั้น  ในการนี้ฝ่ายบริหารจำเป็นต้อง</t>
  </si>
  <si>
    <t xml:space="preserve">               ใช้ดุลยพินิจที่เกี่ยวข้องกับการคาดการณ์รายได้และค่าใช้จ่ายในอนาคตซึ่งเกี่ยวเนื่องกับสินทรัพย์นั้น</t>
  </si>
  <si>
    <t>นอกจากนี้ฝ่ายบริหารจำเป็นต้องสอบทานการด้อยค่าของที่ดิน อาคารและอุปกรณ์ในแต่ละช่วงเวลาและบันทึกขาดทุน</t>
  </si>
  <si>
    <t xml:space="preserve">                จำเป็นต้องประมาณการกระแสเงินสดที่คาดว่าจะได้รับในอนาคตจากสินทรัพย์  หรือ  หน่วยของสินทรัพย์ที่ก่อให้เกิดเงินสด </t>
  </si>
  <si>
    <t xml:space="preserve">                รวมทั้งการเลือกอัตราคิดลดที่เหมาะสมในการคำนวณหามูลค่าปัจจุบันของกระแสเงินสดนั้นๆ</t>
  </si>
  <si>
    <t xml:space="preserve">                เมื่อมีความเป็นไปได้ค่อนข้างแน่ว่า บริษัทฯ จะมีกำไรทางภาษีในอนาคตเพียงพอที่จะใช้ประโยชน์จากผลแตกต่างชั่วคราวและ</t>
  </si>
  <si>
    <t xml:space="preserve">                ขาดทุนนั้น ในการนี้ฝ่ายบริหารจำเป็นต้องประมาณการว่าบริษัทฯ ควรรับรู้จำนวนสินทรัพย์ภาษีเงินได้รอการตัดบัญชีเป็นจำนวน</t>
  </si>
  <si>
    <t xml:space="preserve">                เท่าใด โดยพิจารณาถึงจำนวนกำไรทางภาษีที่คาดว่าจะเกิดในอนาคตในแต่ละช่วงเวลา</t>
  </si>
  <si>
    <t xml:space="preserve">                ประเมินเงื่อนไขและรายละเอียดของสัญญาเพื่อพิจารณาว่าบริษัทได้โอนหรือรับโอนความเสี่ยงและผลประโยชน์ในสินทรัพย์</t>
  </si>
  <si>
    <t xml:space="preserve">                ที่เช่าดังกล่าวแล้วหรือไม่</t>
  </si>
  <si>
    <t xml:space="preserve">                อาศัยข้อสมมติฐานต่างๆในการประมาณการนั้น เช่น อัตราคิดลด อัตราการขึ้นเงินเดือนในอนาคต อัตรามรณะ และอัตราการ</t>
  </si>
  <si>
    <t xml:space="preserve">                เปลี่ยนแปลงในจำนวนพนักงาน เป็นต้น</t>
  </si>
  <si>
    <t xml:space="preserve">                ที่ถูกฟ้องร้องแล้วและเชื่อมั่นว่าจะไม่มีความเสียหายเกิดขึ้นจึงไม่ได้บันทึกประมาณการหนี้สินดังกล่าว  ณ  วันสิ้นรอบระยะ</t>
  </si>
  <si>
    <t xml:space="preserve">                เวลารายงาน</t>
  </si>
  <si>
    <t xml:space="preserve"> - 17 -</t>
  </si>
  <si>
    <t xml:space="preserve">     บริษัท เพรซิเดนท์โฮลดิ้ง จำกัด</t>
  </si>
  <si>
    <t xml:space="preserve">     (มหาชน)  ("PR")   และ  บริษัท เพรซิเดนท์ เบเกอร์รี่ จำกัด  (มหาชน)   ("PB")    อันเป็นผลมาจากการรับโอนกิจการทั้งหมดของ</t>
  </si>
  <si>
    <t>6.  เงินสดและรายการเทียบเท่าเงินสด</t>
  </si>
  <si>
    <t>เงินสดและรายการเทียบเท่าเงินสด  ได้แก่  เงินสดในมือและเงินฝากสถาบันการเงิน  ประกอบด้วย</t>
  </si>
  <si>
    <t>งบการเงิน</t>
  </si>
  <si>
    <t>ที่แสดงเงินลงทุน</t>
  </si>
  <si>
    <t>ตามวิธีส่วนได้เสีย</t>
  </si>
  <si>
    <t xml:space="preserve"> 31 ธันวาคม 2560</t>
  </si>
  <si>
    <t xml:space="preserve"> 31 ธันวาคม 2559</t>
  </si>
  <si>
    <t>7.  เงินลงทุนชั่วคราว</t>
  </si>
  <si>
    <t>ใบรับเงินฝากประจำ</t>
  </si>
  <si>
    <t>เงินฝากประจำธนาคาร</t>
  </si>
  <si>
    <t xml:space="preserve">                               (ลงชื่อ)…………………………….……..……………………………………กรรมการตามอำนาจ</t>
  </si>
  <si>
    <t>ลูกหนี้การค้ากิจการที่เกี่ยวข้องกันแยกตามอายุหนี้ที่ค้างชำระ ณ วันที่ 31 ธันวาคม 2560 และ 2559 ได้ดังนี้</t>
  </si>
  <si>
    <t>ลูกหนี้การค้า - อื่นๆ แยกตามอายุหนี้ที่ค้างชำระ ณ วันที่ 31 ธันวาคม 2560 และ 2559 ได้ดังนี้</t>
  </si>
  <si>
    <t>10. ลูกหนี้ตามสัญญาเช่าซื้อ</t>
  </si>
  <si>
    <t>ณ วันที่ 31 ธันวาคม 2560 มีลูกหนี้ตามสัญญาเช่าซื้อ แบ่งตามระยะเวลาครบกำหนดตามสัญญาได้ดังนี้</t>
  </si>
  <si>
    <t>งบการเงินรวม และงบการเงินเฉพาะกิจการ</t>
  </si>
  <si>
    <t>มูลค่าตามสัญญา</t>
  </si>
  <si>
    <t>ส่วนที่ถึงกำหนดชำระ</t>
  </si>
  <si>
    <t>ภายใน 1 ปี</t>
  </si>
  <si>
    <t>เกิน 1 ปี</t>
  </si>
  <si>
    <t>ลูกหนี้เช่าซื้อ-ยานพาหนะ</t>
  </si>
  <si>
    <t>รายได้ดอกเบี้ยรับรอตัดบัญชี</t>
  </si>
  <si>
    <t>ลูกหนี้เช่าซื้อ</t>
  </si>
  <si>
    <t>เงินประกัน</t>
  </si>
  <si>
    <t>สำรองค่าเผื่อหนี้สูญ-ลูกหนี้เช่าซื้อ-ยานพาหนะ</t>
  </si>
  <si>
    <t>ลูกหนี้เช่าซื้อ -สุทธิ</t>
  </si>
  <si>
    <t>ลูกหนี้ตามสัญญาเช่าซื้อ-กิจการที่เกี่ยวข้องกัน</t>
  </si>
  <si>
    <t>ลูกหนี้ตามสัญญาเช่าซื้อ-กิจการอื่น</t>
  </si>
  <si>
    <t>รวมลูกหนี้ตามสัญญาเช่าซื้อ</t>
  </si>
  <si>
    <t>กิจการที่เกี่ยวข้องกัน</t>
  </si>
  <si>
    <t>10. ลูกหนี้ตามสัญญาเช่าซื้อ (ต่อ)</t>
  </si>
  <si>
    <t>อายุลูกหนี้</t>
  </si>
  <si>
    <t>จำนวน</t>
  </si>
  <si>
    <t>ยอดลูกหนี้หลังหัก</t>
  </si>
  <si>
    <t>อัตรา</t>
  </si>
  <si>
    <t>ค่าเผื่อหนี้</t>
  </si>
  <si>
    <t>สัญญา</t>
  </si>
  <si>
    <t>รายได้ดอกเบี้ย</t>
  </si>
  <si>
    <t>สงสัยจะสูญ</t>
  </si>
  <si>
    <t>รอการรับรู้</t>
  </si>
  <si>
    <t>กิจการอื่น</t>
  </si>
  <si>
    <t>11.  เงินลงทุนในบริษัทร่วม</t>
  </si>
  <si>
    <t>เพรซิเดนท์ เบเกอรี่</t>
  </si>
  <si>
    <t>เบเกอรี่ ฟาสต์ฟู้ด ภัตตาคาร</t>
  </si>
  <si>
    <t>ผลิตภัณฑ์จากข้าว</t>
  </si>
  <si>
    <t>11.  เงินลงทุนในบริษัทร่วม (ต่อ)</t>
  </si>
  <si>
    <t xml:space="preserve">        11.2  ข้อมูลเพิ่มเติมของบริษัทร่วม</t>
  </si>
  <si>
    <t xml:space="preserve">         จากการรับโอนกิจการทั้งหมดของ บริษัท เพรซิเดนท์โฮลดิ้ง จำกัด  บริษัทฯ ได้รับโอนหุ้นใน บริษัท เพรซิเดนท์ไรซ์</t>
  </si>
  <si>
    <t xml:space="preserve">โปรดักส์ จำกัด (มหาชน) จากเดิมถือในสัดส่วนร้อยละ 3.01 เป็นร้อยละ 35.76 และรับโอนหุ้นในบริษัท เพรซิเดนท์ เบเกอรี่ </t>
  </si>
  <si>
    <t>จำกัด (มหาชน) จากเดิมถือในสัดส่วนร้อยละ  2.82  เป็นร้อยละ  21.58   ทำให้บริษัทฯ  มีอิทธิพลอย่างเป็นสาระสำคัญใน</t>
  </si>
  <si>
    <t>มูลค่ายุติธรรมในหลักทรัพย์เผื่อขาย จำนวน 812.14 ล้านบาท (สุทธิจากภาษี 203.03 ล้านบาท) ในกำไรขาดทุนเบ็ดเสร็จอื่น</t>
  </si>
  <si>
    <t xml:space="preserve">และวัดมูลค่าของเงินลงทุนที่ถืออยู่เดิมด้วยมูลค่ายุติธรรม ทำให้มีกำไรจากการโอนเปลี่ยนประเภทเงินลงทุน จำนวน 1,015.17  </t>
  </si>
  <si>
    <t xml:space="preserve">ล้านบาท แสดงไว้เป็นรายได้อื่นในงบกำไรขาดทุนเบ็ดเสร็จ </t>
  </si>
  <si>
    <t xml:space="preserve">          มูลค่ายุติธรรมของเงินลงทุนในบริษัทร่วม     (เฉพาะบริษัทร่วมที่มีตราสารทุนที่มีการซื้อขายในตลาดหลักทรัพย์</t>
  </si>
  <si>
    <t>แห่งประเทศไทย (SET) คำนวณจากราคาเสนอซื้อปัจจุบัน ณ วันที่ในงบแสดงฐานะการเงิน   ของตลาดหลักทรัพย์</t>
  </si>
  <si>
    <t>แห่งประเทศไทย) มีรายละเอียดดังนี้</t>
  </si>
  <si>
    <t>บมจ. เพรซิเดนท์ เบเกอรี่</t>
  </si>
  <si>
    <t>12.  เงินลงทุนในบริษัทย่อย</t>
  </si>
  <si>
    <t xml:space="preserve">    บจ. เพรซิเดนท์อินเตอร์ฟูด</t>
  </si>
  <si>
    <t xml:space="preserve">13.  เงินลงทุนในกิจการที่เกี่ยวข้องกัน </t>
  </si>
  <si>
    <t xml:space="preserve">      13.1  เงินลงทุนในหลักทรัพย์เผื่อขาย</t>
  </si>
  <si>
    <t xml:space="preserve">     LION CORPORATION </t>
  </si>
  <si>
    <t xml:space="preserve">             (JAPAN)</t>
  </si>
  <si>
    <t xml:space="preserve">     บมจ. โอ ซี ซี</t>
  </si>
  <si>
    <t xml:space="preserve">      13.2  เงินลงทุนทั่วไป</t>
  </si>
  <si>
    <t xml:space="preserve">     บจ. โตโยโบะ สห เซฟตี้ วีฟ</t>
  </si>
  <si>
    <t>ถุงลมนิรภัยยานยนต์</t>
  </si>
  <si>
    <t xml:space="preserve">            (ลงชื่อ)………………………………………………………………………………………..กรรมการตามอำนาจ</t>
  </si>
  <si>
    <t>13.  เงินลงทุนในกิจการที่เกี่ยวข้องกัน (ต่อ)</t>
  </si>
  <si>
    <t xml:space="preserve">     บจ. โอสถ อินเตอร์ </t>
  </si>
  <si>
    <t xml:space="preserve">           แลบบอราทอรีส์</t>
  </si>
  <si>
    <t xml:space="preserve">     บจ. คาร์บอน เมจิก </t>
  </si>
  <si>
    <t xml:space="preserve">     บจ. มอลเท็นเอเซียโพลิเมอร์ </t>
  </si>
  <si>
    <t xml:space="preserve">           โปรดักส์</t>
  </si>
  <si>
    <t xml:space="preserve">     บมจ. เคพีเอ็น เฮลท์แคร์</t>
  </si>
  <si>
    <t>เครื่องดื่มและขนม</t>
  </si>
  <si>
    <t xml:space="preserve">     PT. DYNIC TEXTILE </t>
  </si>
  <si>
    <t xml:space="preserve">            PRESTIGE </t>
  </si>
  <si>
    <t xml:space="preserve">     บจ. อินเตอร์เนชั่นแนล</t>
  </si>
  <si>
    <t xml:space="preserve">           เลทเธอร์แฟชั่น</t>
  </si>
  <si>
    <t xml:space="preserve">     บจ. แชมป์เอช</t>
  </si>
  <si>
    <t xml:space="preserve">     บจ. ทรานสคอสมอส </t>
  </si>
  <si>
    <t xml:space="preserve">           (ไทยแลนด์)</t>
  </si>
  <si>
    <t xml:space="preserve">     PT. TRINITY LUXTRO </t>
  </si>
  <si>
    <t xml:space="preserve">           APPAREL</t>
  </si>
  <si>
    <t xml:space="preserve">     INTERNATIONAL </t>
  </si>
  <si>
    <t xml:space="preserve">           COMMERCIAL </t>
  </si>
  <si>
    <t xml:space="preserve">           COORDINATION </t>
  </si>
  <si>
    <t xml:space="preserve">           LTD. (H.K)</t>
  </si>
  <si>
    <t>HK$ 5,000</t>
  </si>
  <si>
    <t xml:space="preserve">     TIGER MK LOGISTICS </t>
  </si>
  <si>
    <t xml:space="preserve">          (MYANMAR)</t>
  </si>
  <si>
    <t xml:space="preserve">            เซอร์วิส</t>
  </si>
  <si>
    <t xml:space="preserve">     ARUSU MYANMAR </t>
  </si>
  <si>
    <t xml:space="preserve">            CO., LTD.</t>
  </si>
  <si>
    <t xml:space="preserve">     บจ. รักษาความปลอดภัย </t>
  </si>
  <si>
    <t xml:space="preserve">            ไทยซีคอม (เดิมชื่อ </t>
  </si>
  <si>
    <t xml:space="preserve">            บจ.ไทยซีคอมพิทักษ์กิจ)</t>
  </si>
  <si>
    <t>14. เงินลงทุนระยะยาวอื่น</t>
  </si>
  <si>
    <t xml:space="preserve">     14.1 เงินลงทุนในหลักทรัพย์เผื่อขาย</t>
  </si>
  <si>
    <t xml:space="preserve">   บริษัทอื่น</t>
  </si>
  <si>
    <t xml:space="preserve">     บมจ. เอส. แพ็ค แอนด์ พริ้นท์</t>
  </si>
  <si>
    <t xml:space="preserve">     14.2 เงินลงทุนทั่วไป</t>
  </si>
  <si>
    <t xml:space="preserve">     บจ. โอซูก้า นิวทราซูติคอล </t>
  </si>
  <si>
    <t>นำเข้า ส่งออก</t>
  </si>
  <si>
    <t xml:space="preserve">             (ลงชื่อ)………………………………………………………………………………………..กรรมการตามอำนาจ</t>
  </si>
  <si>
    <t>14. เงินลงทุนระยะยาวอื่น (ต่อ)</t>
  </si>
  <si>
    <t xml:space="preserve">     บจ. ประชารัฐรักสามัคคี</t>
  </si>
  <si>
    <t>หัก เงินสดและรายการเทียบเท่าเงินสดของบริษัทย่อย ("PI")</t>
  </si>
  <si>
    <t>( ณ วันที่ 31 ธันวาคม 2560 จากสถาบันการเงินหนึ่งแห่ง รวม 11 ฉบับ อัตราดอกเบี้ย 1.65 - 1.75%)</t>
  </si>
  <si>
    <t>ไทยเพรซิเดนท์ฟูดส์  (หลังควบรวมกิจการ)</t>
  </si>
  <si>
    <t>ไทยเพรซิเดนท์ฟูดส์ (ก่อนควบรวมกิจการ)</t>
  </si>
  <si>
    <t>เพรซเดนท์ไรซ์โปรดักส์ (ก่อนควบรวมกิจการ)</t>
  </si>
  <si>
    <t>อีสเทิร์น ไทย คอนซัลติ้ง 1992</t>
  </si>
  <si>
    <t>CANCHANA INTERNATIONAL CO., LTD.</t>
  </si>
  <si>
    <t xml:space="preserve">       11.1  เงินลงทุนในบริษัทร่วม</t>
  </si>
  <si>
    <t xml:space="preserve">        ในระหว่างปี บริษัทฯ จำหน่ายเงินลงทุนใน บริษัท แชมป์เอช จำกัด บางส่วน ทำให้สัดส่วนการถือหุ้นลดลงจากร้อยละ </t>
  </si>
  <si>
    <t>22.50 เป็นร้อยละ 17.00  ของทุนจดทะเบียนชำระแล้ว และจำหน่ายเงินลงทุนใน  บริษัท เอส.ที. (ไทยแลนด์) จำกัด บางส่วน</t>
  </si>
  <si>
    <t>ทำให้สัดส่วนการถือหุ้นลดลงจากร้อยละ 23.75 เป็นร้อยละ 18.75 ของทุนจดทะเบียนชำระแล้ว  และภายหลังการลดสัดส่วน</t>
  </si>
  <si>
    <t>การถือหุ้น บริษัทฯ ไม่ได้มีอิทธิพลอย่างเป็นสาระสำคัญในบริษัทดังกล่าวแล้ว ทำให้บริษัทฯ ต้องเปลี่ยนสถานะการจัดประเภท</t>
  </si>
  <si>
    <t>เงินลงทุนจากเงินลงทุนในบริษัทร่วม  เป็นเงินลงทุนในกิจการที่เกี่ยวข้องกัน-เงินลงทุนทั่วไป ตามหมายเหตุข้อ 13</t>
  </si>
  <si>
    <t>บริษัทดังกล่าว   บริษัทฯ ได้โอนเปลี่ยนประเภทเงินลงทุน จากเงินลงทุนในกิจการที่เกี่ยวข้องกันหลักทรัพย์เผื่อขายมาเป็น</t>
  </si>
  <si>
    <t>เงินลงทุนในบริษัทร่วม   ซึ่ง ณ วันโอนเปลี่ยนประเภทเงินลงทุน  บริษัทฯ ได้กลับรายการกำไรที่ยังไม่เกิดขึ้นจากการปรับ</t>
  </si>
  <si>
    <t xml:space="preserve">         เมื่อวันที่ 16 ตุลาคม 2560 บริษัท ไทยเพรซิเดนท์ฟูดส์ จำกัด (มหาชน) และบริษัท เพรซิเดนท์ไรซ์โปรดักส์ จำกัด (มหาชน) </t>
  </si>
  <si>
    <t xml:space="preserve">ได้ควบรวมกิจการภายใต้ชื่อบริษัทใหม่   คือ  บริษัท  ไทยเพรซิเดนท์ฟูดส์  จำกัด (มหาชน)  หลังการควบรวมกิจการบริษัทฯ </t>
  </si>
  <si>
    <t>มีสัดส่วนการถือหุ้นร้อยละ  25.06   ของทุนจดทะเบียนชำระแล้วของบริษัทดังกล่าว  บริษัทฯ นำเงินลงทุนตามวิธีส่วนได้เสีย</t>
  </si>
  <si>
    <t xml:space="preserve">ของเงินลงทุนในบริษัทเดิมมารวมกัน ณ วันก่อนควบรวมกิจการ และรับรู้ส่วนได้เสียของบริษัทใหม่ตั้งแต่วันที่ 16 ตุลาคม 2560 </t>
  </si>
  <si>
    <t>เป็นต้นไป  บริษัทเดิมทั้งสองมีเงินลงทุนในบริษัท เพรซิเดนท์ เบเกอรี่ จำกัด (มหาชน)  ซึ่งบริษัท ไทยเพรซิเดนท์ฟูดส์ จำกัด</t>
  </si>
  <si>
    <t>(มหาชน) ได้ถือเงินลงทุนดังกล่าวเป็นเงินลงทุนเผื่อขาย  ผลการควบรวมกิจการทำให้สัดส่วนการลงทุนของบริษัทเดิมทั้งสอง</t>
  </si>
  <si>
    <t>ในบริษัท เพรซิเดนท์ เบเกอรี่ จำกัด (มหาชน) มีสัดส่วนเพิ่มขึ้นเป็นร้อยละ 46.90 ของทุนจดทะเบียนชำระแล้ว และถือเป็น</t>
  </si>
  <si>
    <t xml:space="preserve">บริษัทย่อยของบริษัท ไทยเพรซิเดนท์ฟูดส์ จำกัด (มหาชน) (บริษัทใหม่)   โดยถือเป็นบริษัทย่อยภายใต้การควบคุมเดียวกัน </t>
  </si>
  <si>
    <t xml:space="preserve">ซึ่งต้องรวมกันด้วยราคาตามบัญชี  มีผลให้เกิดการกลับรายการผลกำไรจากการวัดมูลค่าเงินลงทุนเผื่อขาย ณ วันควบรวมกิจการ </t>
  </si>
  <si>
    <t xml:space="preserve">        11.2  ข้อมูลเพิ่มเติมของบริษัทร่วม (ต่อ)</t>
  </si>
  <si>
    <t>บมจ. ไทยเพรซิเดนท์ฟูดส์ (หลังควบรวมกิจการ)</t>
  </si>
  <si>
    <t>บมจ. ไทยเพรซิเดนท์ฟูดส์ (ก่อนควบรวมกิจการ)</t>
  </si>
  <si>
    <t xml:space="preserve">    งบการเงิน สำหรับงวด 7 เดือน (ตั้งแต่วันที่รับโอนกิจการ) สิ้นสุดวันที่ 31 ธันวาคม 2560 ของบริษัทย่อยที่นำมาจัดทำงบการเงินรวมได้ผ่านการตรวจสอบโดยผู้สอบบัญชีอื่นแล้ว</t>
  </si>
  <si>
    <t>A, C, E</t>
  </si>
  <si>
    <t xml:space="preserve">     บจ. เอส.ที.(ไทยแลนด์) </t>
  </si>
  <si>
    <t xml:space="preserve">     บจ. เทรชเชอร์ ฮิลล์</t>
  </si>
  <si>
    <t xml:space="preserve">          PRESIDENT FOODS (BD)</t>
  </si>
  <si>
    <t xml:space="preserve">     บจ. ไทซันฟูดส์</t>
  </si>
  <si>
    <t xml:space="preserve">     บจ. ไทย บุนกะ แฟชั่น</t>
  </si>
  <si>
    <t xml:space="preserve">     บจ. เคนมิน ฟู้ดส์ </t>
  </si>
  <si>
    <t xml:space="preserve">     บจ. ไทยสปอร์ตการ์เมนต์</t>
  </si>
  <si>
    <t xml:space="preserve">     บจ. ยู ซี ซี อูเอะชิม่า คอฟฟี่ </t>
  </si>
  <si>
    <t xml:space="preserve">     บจ. เอ็มบีทีเอส โบรกกิ้ง </t>
  </si>
  <si>
    <t xml:space="preserve">     บจ. อเมริกันฟู้ด</t>
  </si>
  <si>
    <t>ไอศกรีม</t>
  </si>
  <si>
    <t>- 29 -</t>
  </si>
  <si>
    <t xml:space="preserve">     บมจ. เนชั่น มัลติมีเดีย กรุ๊ป</t>
  </si>
  <si>
    <t xml:space="preserve">     บมจ. ไทยโทเรเท็กซ์ ไทล์มิลลส์</t>
  </si>
  <si>
    <t xml:space="preserve">     บมจ. อิมพีเรียล เทคโนโลยี </t>
  </si>
  <si>
    <t xml:space="preserve">              แมเนจเม้นท์ เซอร์วิส</t>
  </si>
  <si>
    <t xml:space="preserve">     บมจ. ซันล็อต เอ็นเตอร์ไพรส์</t>
  </si>
  <si>
    <t xml:space="preserve">     บจ. อมตะ ซิตี้</t>
  </si>
  <si>
    <t xml:space="preserve">     บจ. โนเบิล เพลซ</t>
  </si>
  <si>
    <t>15.  อสังหาริมทรัพย์รอการขาย</t>
  </si>
  <si>
    <t>งบการเงินรวม และ</t>
  </si>
  <si>
    <t>ตามวิธีส่วนได้เสีย และ</t>
  </si>
  <si>
    <t xml:space="preserve">            ในระหว่างปี บริษัทฯ ได้จัดประเภททรัพย์สินให้ถูกต้องตามประเภทการใช้งานใหม่โดยโอนไปเป็นอสังหาริมทรัพย์ตามสัญญาจะซื้อจะขาย  </t>
  </si>
  <si>
    <t xml:space="preserve">      จำนวน 24.85 ล้านบาท และโอนไปเป็นที่ดิน อาคาร และอุปกรณ์ จำนวน 0.22 ล้านบาท</t>
  </si>
  <si>
    <t>16.  อสังหาริมทรัพย์เพื่อการลงทุน</t>
  </si>
  <si>
    <t xml:space="preserve">        16.1  อสังหาริมทรัพย์เพื่อการลงทุน - ที่ดินอื่น ที่แสดงไว้ในงบการเงิน ณ วันที่ 31 ธันวาคม 2560 และ 2559 มีรายละเอียดดังนี้</t>
  </si>
  <si>
    <t xml:space="preserve"> งบการเงินรวม และงบการเงินเฉพาะกิจการ</t>
  </si>
  <si>
    <t>งบการเงินที่แสดงเงินลงทุนตามวิธีส่วนได้เสีย และงบการเงินเฉพาะกิจการ</t>
  </si>
  <si>
    <t xml:space="preserve">      ลำพูน</t>
  </si>
  <si>
    <t xml:space="preserve">                  (ลงชื่อ)……………………………………..………………………………….กรรมการตามอำนาจ</t>
  </si>
  <si>
    <t>16.  อสังหาริมทรัพย์เพื่อการลงทุน (ต่อ)</t>
  </si>
  <si>
    <t xml:space="preserve">        16.2  อสังหาริมทรัพย์เพื่อการลงทุน - ให้เช่า ที่แสดงไว้ในงบการเงิน ณ วันที่ 31 ธันวาคม 2560 และ 2559  ประกอบด้วย</t>
  </si>
  <si>
    <t xml:space="preserve">          ณ วันที่ 31 ธันวาคม 2560</t>
  </si>
  <si>
    <t>สำหรับปี</t>
  </si>
  <si>
    <t xml:space="preserve"> 2560</t>
  </si>
  <si>
    <t xml:space="preserve"> 2559</t>
  </si>
  <si>
    <t xml:space="preserve">      1,712.16 ล้านบาท และ 1,453.43 ล้านบาท ตามลำดับ</t>
  </si>
  <si>
    <t xml:space="preserve">            ค่าเสื่อมราคาสำหรับปี สิ้นสุดวันที่ 31 ธันวาคม 2560 และ 2559 จำนวน 60.39 ล้านบาท และ 50.99 ล้านบาท ตามลำดับ </t>
  </si>
  <si>
    <t xml:space="preserve">             ณ วันที่ 31 ธันวาคม 2560 และ 2559 มูลค่ายุติธรรมของอสังหาริมทรัพย์เพื่อการลงทุน - ที่ดินอื่น  ซึ่งประเมินโดยผู้ประเมินอิสระ มีมูลค่า  </t>
  </si>
  <si>
    <t xml:space="preserve">      4,318.74 ล้านบาท และ 4,372.71 ล้านบาท ตามลำดับ</t>
  </si>
  <si>
    <t xml:space="preserve">            ณ วันที่ 31 ธันวาคม 2560 และ 2559  มูลค่ายุติธรรมของอสังหาริมทรัพย์เพื่อการลงทุน - ให้เช่า  ซึ่งประเมินโดยผู้ประเมินอิสระ มีมูลค่า  </t>
  </si>
  <si>
    <t xml:space="preserve">      16.90 ล้านบาท และโอนไปเป็นอสังหาริมทรัพย์ตามสัญญาจะซื้อจะขาย จำนวน 2.41 ล้านบาท</t>
  </si>
  <si>
    <t xml:space="preserve">            ในระหว่างปี  บริษัทฯ ได้จัดประเภททรัพย์สินให้ถูกต้องตามประเภทการใช้งานใหม่   โดยโอนไปเป็นที่ดิน อาคาร และอุปกรณ์ จำนวน </t>
  </si>
  <si>
    <t xml:space="preserve">      ที่สำคัญมีดังนี้</t>
  </si>
  <si>
    <t xml:space="preserve">             จำนวนที่รับรู้ในงบกำไรขาดทุนเบ็ดเสร็จของบริษัทฯ จากอสังหาริมทรัพย์เพื่อการลงทุนสำหรับปี สิ้นสุดวันที่ 31 ธันวาคม 2560 และ 2559 </t>
  </si>
  <si>
    <t xml:space="preserve">17.  ที่ดิน อาคารและอุปกรณ์ </t>
  </si>
  <si>
    <t xml:space="preserve">               ที่ดิน อาคารและอุปกรณ์ ที่แสดงไว้ในงบการเงิน ณ วันที่ 31 ธันวาคม 2560 และ 2559 ประกอบด้วย</t>
  </si>
  <si>
    <t xml:space="preserve">               เพิ่มขึ้นจากการซื้อบริษัทย่อย</t>
  </si>
  <si>
    <t xml:space="preserve">               ค่าเสื่อมราคา</t>
  </si>
  <si>
    <t xml:space="preserve">               จำหน่าย</t>
  </si>
  <si>
    <t xml:space="preserve">     ในระหว่างปี บริษัทฯ ได้จัดประเภททรัพย์สินให้ถูกต้องตามประเภทการใช้งานใหม่ โดยรับโอนจากอสังหาริมทรัพย์ตามสัญญาจะซื้อจะขาย จำนวน 3.30 ล้านบาท รับโอนจากอสังหาริมทรัพย์  </t>
  </si>
  <si>
    <t xml:space="preserve">เพื่อการลงทุน จำนวน 16.90 ล้านบาท และรับโอนจากอสังหาริมทรัพย์รอการขาย จำนวน 0.22 ล้านบาท  </t>
  </si>
  <si>
    <t xml:space="preserve">            (ลงชื่อ)…………………………….……..……………………………………กรรมการตามอำนาจ</t>
  </si>
  <si>
    <t xml:space="preserve">17.  ที่ดิน อาคารและอุปกรณ์ (ต่อ) </t>
  </si>
  <si>
    <t xml:space="preserve">     ค่าเสื่อมราคาสำหรับปี สิ้นสุดวันที่ 31 ธันวาคม 2560 และ 2559 จำนวน 131.85 ล้านบาท และ 127.14 ล้านบาท ตามลำดับ</t>
  </si>
  <si>
    <t xml:space="preserve">     ณ วันที่ 31 ธันวาคม 2560</t>
  </si>
  <si>
    <t xml:space="preserve">ค่าใช้จ่ายตัดจ่ายสำหรับปี สิ้นสุดวันที่ 31 ธันวาคม 2560 และ 2559 จำนวน 1,613,297.53 บาท และ 1,552,166.42 บาท ตามลำดับ </t>
  </si>
  <si>
    <t>18.  สินทรัพย์ไม่มีตัวตน</t>
  </si>
  <si>
    <t>19.  เงินมัดจำค่าที่ดิน</t>
  </si>
  <si>
    <t>20.  เงินเบิกเกินบัญชี และเงินกู้ยืมระยะสั้นจากสถาบันการเงิน</t>
  </si>
  <si>
    <t>8.  ลูกหนี้การค้าและลูกหนี้หมุนเวียนอื่น - กิจการที่เกี่ยวข้องกัน</t>
  </si>
  <si>
    <t>ลูกหนี้การค้า และลูกหนี้หมุนเวียนอื่น - กิจการที่เกี่ยวข้องกัน ณ วันที่ 31 ธันวาคม 2560 และ 2559 มีรายละเอียด ดังนี้</t>
  </si>
  <si>
    <t>8.  ลูกหนี้การค้าและลูกหนี้หมุนเวียนอื่น - กิจการที่เกี่ยวข้องกัน (ต่อ)</t>
  </si>
  <si>
    <t>9.  ลูกหนี้การค้าและลูกหนี้หมุนเวียนอื่น - อื่นๆ</t>
  </si>
  <si>
    <t>ลูกหนี้การค้า และลูกหนี้หมุนเวียนอื่น-อื่นๆ ณ วันที่ 31 ธันวาคม 2560 และ 2559 มีรายละเอียด ดังนี้</t>
  </si>
  <si>
    <t xml:space="preserve">    ณ วันที่ 31 ธันวาคม 2560 และ 2559 บริษัทฯ มีวงเงินเบิกเกินบัญชีกับธนาคาร 7 แห่ง และ 8 แห่ง  จำนวนเงิน 150 ล้านบาท</t>
  </si>
  <si>
    <t xml:space="preserve">       และ 180 ล้านบาท ตามลำดับ อัตราดอกเบี้ยร้อยละ MOR ลบด้วยอัตราส่วนเพิ่มคงที่ต่อปี ตามสัญญา </t>
  </si>
  <si>
    <t xml:space="preserve">         9 งวด  เป็นเงินงวดละ 100.00  ล้านบาท   สิ้นสุดสัญญา วันที่  11  พฤษภาคม  2564  (อัตราดอกเบี้ย BIBOR บวกด้วย</t>
  </si>
  <si>
    <t xml:space="preserve">         ตามสัญญา จำนวน 50.00 ล้านบาท ภายในวันที่ 16 กุมภาพันธ์ 2558 ส่วนที่เหลือชำระคืนเงินต้นทุก 6 เดือน จำนวน </t>
  </si>
  <si>
    <t xml:space="preserve">         9  งวด  เป็นเงินงวดละ  50.00  ล้านบาท  สิ้นสุดสัญญาวันที่  15  สิงหาคม  2562  (อัตราดอกเบี้ย BIBOR  บวกด้วย</t>
  </si>
  <si>
    <t xml:space="preserve">         อัตราส่วนเพิ่มคงที่ต่อปีตามสัญญา  โดยชำระดอกเบี้ยเป็นรายเดือน) โดยในปี 2560 บริษัทฯ ได้จ่ายคืนเงินต้น และ</t>
  </si>
  <si>
    <t xml:space="preserve">         ดอกเบี้ยให้แก่ธนาคารพาณิชย์ครบแล้วทั้งจำนวน</t>
  </si>
  <si>
    <t xml:space="preserve">         อัตราส่วนเพิ่มคงที่ต่อปีตามสัญญา โดยชำระดอกเบี้ยเป็นรายเดือน) โดยในปี 2560 บริษัทฯ ได้จ่ายคืนเงินต้น และ</t>
  </si>
  <si>
    <t xml:space="preserve">21.  เงินกู้ยืมระยะยาว </t>
  </si>
  <si>
    <t>21.1 ในปี 2558  บริษัทฯ ได้กู้ยืมเงินจากธนาคารพาณิชย์แห่งหนึ่ง  จำนวน 1,000.00 ล้านบาท   โดยชำระคืนเงินต้นงวดแรก</t>
  </si>
  <si>
    <t>21.2 ในปี  2557  บริษัทฯ  ได้กู้ยืมเงินจากธนาคารพาณิชย์แห่งหนึ่ง  จำนวน 500.00 ล้านบาท   โดยชำระคืนเงินต้นงวดแรก</t>
  </si>
  <si>
    <t xml:space="preserve">    ณ วันที่ 31 ธันวาคม 2560 และ 2559 บริษัทฯ มีภาระหนี้สินที่อาจจะเกิดขึ้นจากการค้ำประกันเงินกู้ยืมของกิจการที่</t>
  </si>
  <si>
    <t xml:space="preserve">    เมื่อวันที่ 9 กุมภาพันธ์ 2560 บริษัทฯ ได้ออกหุ้นกู้ชนิดระบุชื่อผู้ถือ ไม่ด้อยสิทธิ ไม่มีหลักประกัน และไม่มีผู้แทนผู้ถือหุ้นกู้ </t>
  </si>
  <si>
    <t xml:space="preserve">        จำนวน 2,000,000 หน่วย   มูลค่าหน่วยละ 1,000 บาท  เป็นจำนวนเงิน 2,000 ล้านบาท  จำนวน  2  ชุด    โดยชุดที่ 1 หุ้นกู้อายุ 3 ปี </t>
  </si>
  <si>
    <t xml:space="preserve">        มูลค่ารวม 1,000 ล้านบาท  อัตราดอกเบี้ยร้อยละ 2.39 ต่อปี  ชำระดอกเบี้ยทุกๆ 6 เดือน ตลอดอายุหุ้นกู้ และชุดที่ 2 หุ้นกู้อายุ 7 ปี </t>
  </si>
  <si>
    <t xml:space="preserve">        มูลค่ารวม 1,000 ล้านบาท  อัตราดอกเบี้ยร้อยละ 3.44 ต่อปี ชำระดอกเบี้ยทุกๆ 6 เดือน  ตลอดอายุหุ้นกู้ ซึ่งหุ้นกู้ดังกล่าวออกตาม</t>
  </si>
  <si>
    <t xml:space="preserve">        มติที่ประชุมวิสามัญผู้ถือหุ้น ครั้งที่ 1/2559 เมื่อวันที่ 20 กันยายน 2559</t>
  </si>
  <si>
    <t>22.  หุ้นกู้</t>
  </si>
  <si>
    <t xml:space="preserve">    ตามมติที่ประชุมสามัญผู้ถือหุ้นครั้งที่ 46 เมื่อวันที่ 25 เมษายน 2560 ให้บริษัทฯ ออกและเสนอขายหุ้นกู้แปลงสภาพจำนวน</t>
  </si>
  <si>
    <t xml:space="preserve">       ไม่เกิน 4 ล้านหน่วย ราคาหน่วยละ 1,000 บาท  มูลค่าทั้งสิ้นไม่เกิน 4,000 ล้านบาท ให้แก่ผู้ถือหุ้นเดิมของบริษัทฯ  รายที่มีสิทธิ</t>
  </si>
  <si>
    <t xml:space="preserve">       ได้รับจัดสรรตามสัดส่วนการถือหุ้น   และมีมติอนุมัติการเพิ่มทุนจดทะเบียนของบริษัทฯ ตามที่กล่าวในหมายเหตุ 25 เพื่อรองรับ</t>
  </si>
  <si>
    <t xml:space="preserve">       การใช้สิทธิแปลงสภาพของหุ้นกู้แปลงสภาพดังกล่าว และเมื่อวันที่ 29 มิถุนายน 2560 บริษัทฯ ได้ออกหุ้นกู้แปลงสภาพดังกล่าว </t>
  </si>
  <si>
    <t xml:space="preserve">       โดยมีข้อกำหนดและเงื่อนไขหลักของหุ้นกู้แปลงสภาพดังนี้</t>
  </si>
  <si>
    <t>ชื่อหุ้นกู้แปลงสภาพ</t>
  </si>
  <si>
    <t>หุ้นกู้แปลงสภาพของบริษัท สหพัฒนาอินเตอร์โฮลดิ้ง จำกัด (มหาชน) ครั้งที่ 1/2560</t>
  </si>
  <si>
    <t>ครบกำหนดไถ่ถอนปี พ.ศ.2567 ซึ่งมีข้อกำหนดบังคับแปลงสภาพ ("หุ้นกู้แปลงสภาพ")</t>
  </si>
  <si>
    <t>ประเภทของหุ้นกู้แปลงสภาพ</t>
  </si>
  <si>
    <t>หุ้นกู้แปลงสภาพชนิดระบุชื่อผู้ถือ มีสิทธิแปลงสภาพเป็นหุ้นสามัญที่ออกใหม่ของบริษัทฯ</t>
  </si>
  <si>
    <t>ไม่ด้อยสิทธิ ไม่มีประกัน และมีผู้แทนผู้ถือหุ้นกู้</t>
  </si>
  <si>
    <t>มูลค่าที่เสนอขาย</t>
  </si>
  <si>
    <t xml:space="preserve"> 3,505,448,000 บาท</t>
  </si>
  <si>
    <t>จำนวนหุ้นกู้แปลงสภาพ</t>
  </si>
  <si>
    <t xml:space="preserve"> 3,505,448 หน่วย</t>
  </si>
  <si>
    <t>ราคาหน้าตั๋ว (Face Value)</t>
  </si>
  <si>
    <t>1,000 (หนึ่งพัน) บาท ต่อ 1 (หนึ่ง) หุ้นกู้แปลงสภาพ (หรือเรียกว่า "มูลค่าที่ตราไว้")</t>
  </si>
  <si>
    <t>ร้อยละ 0.70 (ศูนย์จุดเจ็ดศูนย์) ต่อปี</t>
  </si>
  <si>
    <t>วันออกหุ้นกู้แปลงสภาพ</t>
  </si>
  <si>
    <t>29 มิถุนายน 2560</t>
  </si>
  <si>
    <t>วันครบกำหนดไถ่ถอนหุ้นกู้</t>
  </si>
  <si>
    <t>29 มิถุนายน 2567</t>
  </si>
  <si>
    <t>แปลงสภาพ</t>
  </si>
  <si>
    <t>วันกำหนดชำระดอกเบี้ย</t>
  </si>
  <si>
    <t>ปีละ 4 ครั้ง ในวันที่ 29 มีนาคม 29 มิถุนายน 29 กันยายน และ 29 ธันวาคมของทุกปี โดยวันกำหนด</t>
  </si>
  <si>
    <t xml:space="preserve">ชำระดอกเบี้ยงวดแรกในวันที่ 29 กันยายน พ.ศ. 2560 และวันกำหนดชำระดอกเบี้ยงวดสุดท้าย คือ </t>
  </si>
  <si>
    <t>วันครบกำหนดไถ่ถอนหุ้นกู้แปลงสภาพ</t>
  </si>
  <si>
    <t>ราคาแปลงสภาพ</t>
  </si>
  <si>
    <t>45 (สี่สิบห้า) บาทต่อ 1 (หนึ่ง) หุ้นสามัญของบริษัทฯ ซึ่งอาจมีการเปลี่ยนแปลงได้ตามเงื่อนไขที่</t>
  </si>
  <si>
    <t>กำหนดไว้ในข้อกำหนดสิทธิ</t>
  </si>
  <si>
    <t>อัตราส่วนการแปลงสภาพ</t>
  </si>
  <si>
    <t>1 หุ้นกู้แปลงสภาพ : 22.222222 หุ้น (หรือ อัตราอื่นที่เกิดจากการปรับราคาแปลงสภาพตามเงื่อนไข</t>
  </si>
  <si>
    <t>การกำหนดสิทธิ</t>
  </si>
  <si>
    <t>วันแปลงสภาพ</t>
  </si>
  <si>
    <t>ปีละ 4 ครั้ง ในเดือนมีนาคม มิถุนายน กันยายน และธันวาคม ของทุกปี และสามารถเริ่ม</t>
  </si>
  <si>
    <t>แปลงสภาพได้ ในเดือนมิถุนายน พ.ศ. 2561</t>
  </si>
  <si>
    <t>การบังคับแปลงสภาพ</t>
  </si>
  <si>
    <t>ในกรณีที่ราคาถัวเฉลี่ยถ่วงน้ำหนักของหุ้นสามัญของบริษัทในตลาดหลักทรัพย์ย้อนหลัง 15 วัน</t>
  </si>
  <si>
    <t xml:space="preserve">ทำการติดต่อกันก่อนวันใช้สิทธิแปลงสภาพครั้งสุดท้ายก่อนไถ่ถอน มีราคาสูงกว่า 52 บาท บริษัทฯ </t>
  </si>
  <si>
    <t>จะบังคับแปลงสภาพหุ้นกู้แปลงสภาพที่ยังไม่ได้ไถ่ถอนหรือแปลงสภาพทั้งหมดเป็นหุ้นสามัญ</t>
  </si>
  <si>
    <t>ของบริษัทฯ ในวันครบกำหนดไถ่ถอนหุ้นกู้แปลงสภาพ  ทั้งนี้ตามอัตราแปลงสภาพและที่ราคา</t>
  </si>
  <si>
    <t>แปลงสภาพที่มีผลบังคับ ณ วันใช้สิทธิแปลงสภาพครั้งสุดท้ายก่อนไถ่ถอน</t>
  </si>
  <si>
    <t>23.  หุ้นกู้แปลงสภาพ</t>
  </si>
  <si>
    <t>24.  ภาระหนี้สินจากการค้ำประกัน</t>
  </si>
  <si>
    <t xml:space="preserve">    ณ วันออกหุ้นกู้แปลงสภาพดังกล่าวบริษัทฯ ได้แยกองค์ประกอบของหนี้สินและองค์ประกอบของส่วนของเจ้าของออกจากกัน </t>
  </si>
  <si>
    <t xml:space="preserve">       โดยองค์ประกอบของหนี้สินนั้นได้คำนวณจากกระแสเงินสดของเงินต้นและดอกเบี้ยที่ต้องจ่ายในอนาคตคิดลดด้วย อัตราดอกเบี้ย</t>
  </si>
  <si>
    <t xml:space="preserve">       ในตลาดที่เป็นอยู่ขณะนั้น หุ้นกู้แปลงสภาพ - องค์ประกอบที่เป็นทุนคือผลต่างระหว่างราคาตามบัญชีของหุ้นกู้แปลงสภาพหักด้วย</t>
  </si>
  <si>
    <t xml:space="preserve">       ส่วนที่เป็นองค์ประกอบของหนี้สิน ดังนี้</t>
  </si>
  <si>
    <t>มูลค่าจากการออกหุ้นกู้แปลงสภาพ</t>
  </si>
  <si>
    <t>ต้นทุนทางตรง</t>
  </si>
  <si>
    <t>เงินสดรับสุทธิ</t>
  </si>
  <si>
    <t>มูลค่าที่จัดประเภทเป็นส่วนของเจ้าของ</t>
  </si>
  <si>
    <t>ต้นทุนตัดจ่าย</t>
  </si>
  <si>
    <t>ยอดคงเหลือ ณ วันที่ 31 ธันวาคม 2560</t>
  </si>
  <si>
    <t>23.  หุ้นกู้แปลงสภาพ (ต่อ)</t>
  </si>
  <si>
    <t>25.  ประมาณการหนี้สินสำหรับผลประโยชน์พนักงาน</t>
  </si>
  <si>
    <t xml:space="preserve">    การเปลี่ยนแปลงในมูลค่าปัจจุบันของภาระผูกพันผลประโยชน์พนักงาน</t>
  </si>
  <si>
    <t>ประมาณการหนี้สินสำหรับผลประโยชน์พนักงาน ณ วันที่ 31 ธันวาคม 2559</t>
  </si>
  <si>
    <t>ผลประโยชน์พนักงานของบริษัทย่อยจากการรับโอนกิจการ</t>
  </si>
  <si>
    <t>ขาดทุน(กำไร)จากการประมาณการตามหลักคณิตศาสตร์ประกันภัย</t>
  </si>
  <si>
    <t>ประมาณการหนี้สินสำหรับผลประโยชน์พนักงาน ณ วันที่ 31 ธันวาคม 2560</t>
  </si>
  <si>
    <t xml:space="preserve">    ประมาณการหนี้สินสำหรับผลประโยชน์พนักงานที่บริษัทฯ คาดว่าจะจ่ายตามระยะเวลา ดังนี้</t>
  </si>
  <si>
    <t xml:space="preserve">     ภาระผูกพันที่จะต้องจ่ายภายใน 1 ปี</t>
  </si>
  <si>
    <t xml:space="preserve">     ภาระผูกพันที่จะต้องจ่ายเกินกว่า 1 ปี</t>
  </si>
  <si>
    <t xml:space="preserve">    จำนวนที่รับรู้ในค่าใช้จ่ายในการบริหารที่แสดงอยู่ในในงบกำไรขาดทุนเบ็ดเสร็จสำหรับภาระผูกพันผลประโยชน์พนักงาน  </t>
  </si>
  <si>
    <t>31 ธันวาคม 2560</t>
  </si>
  <si>
    <t>25.  ประมาณการหนี้สินสำหรับผลประโยชน์พนักงาน (ต่อ)</t>
  </si>
  <si>
    <t xml:space="preserve">        สำหรับปี มีดังนี้</t>
  </si>
  <si>
    <t>2.46 - 2.65</t>
  </si>
  <si>
    <t>0-22*</t>
  </si>
  <si>
    <t>TMO2017**</t>
  </si>
  <si>
    <t>การเปลี่ยนแปลงในแต่ละข้อสมมติฐานที่เกี่ยวข้องในการประมาณการตามหลักคณิตศาสตร์ประกันภัยที่อาจเป็นไปได้อย่าง</t>
  </si>
  <si>
    <t xml:space="preserve">        สมเหตุสมผล ณ วันที่รายงาน โดยถือว่าข้อสมมติฐานอื่นๆ คงที่  จะมีผลกระทบต่อภาระผูกพันผลประโยชน์ที่กำหนดไว้เป็น</t>
  </si>
  <si>
    <t xml:space="preserve">        จำนวนเงินดังต่อไปนี้</t>
  </si>
  <si>
    <t xml:space="preserve">    ตามรายงานการประชุมสามัญผู้ถือหุ้น ครั้งที่ 46 เมื่อวันที่ 25 เมษายน 2560 มีมติเห็นชอบอนุมัติการลดและเพิ่มทุนจดทะเบียน</t>
  </si>
  <si>
    <t xml:space="preserve">        ของบริษัทฯ  ให้สอดคล้องกัน</t>
  </si>
  <si>
    <t xml:space="preserve">        ตัดหุ้นสามัญที่ยังไม่ได้ออกจำหน่ายของบริษัทฯ จำนวน 305,965,700 หุ้น มูลค่าที่ตราไว้หุ้นละ 1.00 บาท บริษัทฯ ได้ดำเนินการแก้ไข</t>
  </si>
  <si>
    <t xml:space="preserve">        หนังสือบริคณห์สนธิของบริษัทฯ ข้อ 4 เรื่อง ทุนจดทะเบียนของบริษัทฯ  เมื่อวันที่ 9 พฤษภาคม 2560</t>
  </si>
  <si>
    <t xml:space="preserve">         จำนวน 88,888,888 หุ้น มูลค่าที่ตราไว้หุ้นละ 1.00 บาท เพื่อรองรับการแปลงสภาพ บริษัทฯ ได้ดำเนินการแก้ไขหนังสือบริคณห์สนธิ</t>
  </si>
  <si>
    <t xml:space="preserve">         ของบริษัทฯ ข้อ 4 เรื่อง ทุนจดทะเบียนของบริษัทฯ เมื่อวันที่ 11 พฤษภาคม 2560</t>
  </si>
  <si>
    <t>26.  ทุนจดทะเบียน</t>
  </si>
  <si>
    <t xml:space="preserve">        26.1 การลดทุนจดทะเบียนของบริษัทฯ โดยการลดทุนจดทะเบียนจาก 800,000,000.00 บาท เป็น 494,034,300.00 บาท โดยการ</t>
  </si>
  <si>
    <t xml:space="preserve">        26.2 การเพิ่มทุนจดทะเบียนของบริษัทฯ  จาก 494,034,300.00 บาท  เป็น 582,923,188.00 บาท  โดยการออกหุ้นสามัญใหม่</t>
  </si>
  <si>
    <t>- 39 -</t>
  </si>
  <si>
    <t>- 41 -</t>
  </si>
  <si>
    <t>- 42 -</t>
  </si>
  <si>
    <t xml:space="preserve">    ตามพระราชบัญญัติบริษัทมหาชนจำกัด พ.ศ.2535 บริษัทฯ ต้องจัดสรรกำไรสุทธิประจำปีส่วนหนึ่งไว้เป็นทุนสำรองไม่น้อยกว่าร้อยละห้าของกำไรสุทธิ</t>
  </si>
  <si>
    <t xml:space="preserve">       สำหรับปี หักยอดขาดทุนสะสมต้นปี (ถ้ามี) จนกว่าทุนสำรองตามกฎหมายนี้จะมีจำนวนไม่น้อยกว่าร้อยละสิบของทุนจดทะเบียน ทุนสำรองดังกล่าวจะนำไป</t>
  </si>
  <si>
    <t xml:space="preserve">       จ่ายเป็นเงินปันผลไม่ได้</t>
  </si>
  <si>
    <t xml:space="preserve">       เพื่อการใดการหนึ่งโดยเฉพาะ </t>
  </si>
  <si>
    <t xml:space="preserve">     ณ วันที่ 31 ธันวาคม 2560 และ 2559  บริษัทฯ ได้จัดสรรกำไรส่วนหนึ่งไว้เป็นเงินสำรองทั่วไป  จำนวน 280 ล้านบาท  ซึ่งไม่ได้ระบุวัตถุประสงค์</t>
  </si>
  <si>
    <t xml:space="preserve">                 สำหรับผลการดำเนินงานสำหรับงวด 6 เดือนแรกของปี 2560  ตั้งแต่วันที่ 1 มกราคม 2560 ถึงวันที่ 30 มิถุนายน 2560 ในอัตรา </t>
  </si>
  <si>
    <t xml:space="preserve">                 0.10 บาทต่อหุ้น จำนวน 494,034,300 หุ้น จำนวนเงินรวม 49,403,430 บาท  ซึ่งได้จ่ายให้ผู้ถือหุ้นเรียบร้อยแล้วเรียบร้อยแล้ว </t>
  </si>
  <si>
    <t xml:space="preserve">                 เมื่อวันที่ 8 ธันวาคม 2560</t>
  </si>
  <si>
    <t xml:space="preserve">                 สำหรับปี 2559 ในอัตรา 0.35 บาทต่อหุ้น จำนวน 494,034,300 หุ้น จำนวนเงินรวม 172,912,005.00 บาท  ซึ่งได้จ่ายให้ผู้ถือหุ้น</t>
  </si>
  <si>
    <t xml:space="preserve">                 เรียบร้อยแล้ว เมื่อวันที่ 22 พฤษภาคม 2560</t>
  </si>
  <si>
    <t xml:space="preserve">                 สำหรับผลการดำเนินงานสำหรับงวด 6 เดือนแรกของปี 2559 ตั้งแต่วันที่ 1 มกราคม 2559 ถึงวันที่ 30 มิถุนายน 2559 ในอัตรา </t>
  </si>
  <si>
    <t xml:space="preserve">                 0.10 บาทต่อหุ้น จำนวน 494,034,300 หุ้น จำนวนเงินรวม 49,403,430.00 บาท  ซึ่งได้จ่ายให้ผู้ถือหุ้นเรียบร้อยแล้ว เมื่อวันที่ </t>
  </si>
  <si>
    <t xml:space="preserve">                 9 ธันวาคม 2559</t>
  </si>
  <si>
    <t xml:space="preserve">                 สำหรับปี 2558 ในอัตรา 0.23 บาทต่อหุ้น จำนวน 494,034,300 หุ้น จำนวนเงินรวม 113,627,889.00 บาท  ซึ่งได้จ่ายให้ผู้ถือหุ้น</t>
  </si>
  <si>
    <t xml:space="preserve">                 เรียบร้อยแล้ว เมื่อวันที่ 23 พฤษภาคม 2559</t>
  </si>
  <si>
    <t>ค่าใช้จ่ายภาษีเงินได้สำหรับปี สิ้นสุดวันที่ 31 ธันวาคม 2560 และ 2559 สรุปได้ดังนี้</t>
  </si>
  <si>
    <t xml:space="preserve">     รายการกระทบยอดจำนวนเงินระหว่างค่าใช้จ่ายภาษีเงินได้กับผลคูณของกำไรทางบัญชีกับอัตราภาษีที่ใช้สำหรับปี สิ้นสุดวันที่ 31 ธันวาคม 2560</t>
  </si>
  <si>
    <t xml:space="preserve">       และ 2559 สามารถแสดงได้ดังนี้</t>
  </si>
  <si>
    <t xml:space="preserve">    บริษัทฯ  และพนักงานร่วมกันจัดตั้งกองทุนสำรองเลี้ยงชีพตาม  พรบ.  กองทุนสำรองเลี้ยงชีพ  พ.ศ.  2530  โดยจัดตั้ง ณ วันที่      </t>
  </si>
  <si>
    <t xml:space="preserve">       30 พฤษภาคม 2533 และมอบหมายให้ผู้จัดการรับอนุญาตเป็นผู้จัดการกองทุนนี้ โดยหักจากเงินเดือนพนักงานส่วนหนึ่ง และบริษัทฯ </t>
  </si>
  <si>
    <t xml:space="preserve">       จ่ายสมทบส่วนหนึ่งและจ่ายให้พนักงานในกรณีที่ออกจากงานตามระเบียบการที่กำหนด สำหรับปีสิ้นสุดวันที่ 31 ธันวาคม 2560 </t>
  </si>
  <si>
    <t xml:space="preserve">       และ 2559 บริษัทฯ จ่ายเงินสมทบกองทุนสำรองเลี้ยงชีพ จำนวน 9.31 ล้านบาท และ 9.09 ล้านบาทตามลำดับ</t>
  </si>
  <si>
    <t xml:space="preserve">    ค่าใช้จ่ายเกี่ยวกับอาคารสถานที่  </t>
  </si>
  <si>
    <t>และอุปกรณ์</t>
  </si>
  <si>
    <t xml:space="preserve">       ดำรงไว้ซึ่งโครงสร้างทุนที่เหมาะสม</t>
  </si>
  <si>
    <t xml:space="preserve">       จำกัด โดยไม่รวมเงินเดือนและผลประโยชน์ที่เกี่ยวข้องที่จ่ายให้กับกรรมการในฐานะผู้บริหาร</t>
  </si>
  <si>
    <t xml:space="preserve">       ทุกราย ประกอบด้วย เงินเดือน เงินอุดหนุน  เงินตอบแทนการเกษียณอายุ  และเบี้ยประชุม</t>
  </si>
  <si>
    <t xml:space="preserve">    กำไรต่อหุ้นขั้นพื้นฐานและกำไรต่อหุ้นปรับลด แสดงการคำนวณได้ดังนี้</t>
  </si>
  <si>
    <t xml:space="preserve">งบการเงินรวม  </t>
  </si>
  <si>
    <t>กำไรสุทธิ (บาท)</t>
  </si>
  <si>
    <t>จำนวนหุ้น</t>
  </si>
  <si>
    <t xml:space="preserve">      กำไรต่อหุ้นขั้นพื้นฐาน</t>
  </si>
  <si>
    <t xml:space="preserve">             กำไรสุทธิที่เป็นของผู้ถือหุ้นสามัญ</t>
  </si>
  <si>
    <t xml:space="preserve">             ผลกระทบของหุ้นสามัญเทียบเท่า</t>
  </si>
  <si>
    <t xml:space="preserve">                    ปรับลด (สิทธิที่แปลงหุ้น)</t>
  </si>
  <si>
    <t xml:space="preserve">      กำไรต่อหุ้นปรับลด</t>
  </si>
  <si>
    <t xml:space="preserve">                    สมมติว่ามีการเปลี่ยนแปลง</t>
  </si>
  <si>
    <t xml:space="preserve">                    เป็นหุ้นสามัญ</t>
  </si>
  <si>
    <t>งบการเฉพาะกิจการ</t>
  </si>
  <si>
    <t xml:space="preserve">                                               (ลงชื่อ)…………………………….……..……………………………………กรรมการตามอำนาจ</t>
  </si>
  <si>
    <t xml:space="preserve">                            สวนอุตสาหกรรมฯ ศรีราชา  บริษัทฯ จะต้องชำระค่าไอน้ำตามเงื่อนไขที่กำหนดไว้ในสัญญา  โดยผู้ใช้ ไอน้ำจะต้องทำการ</t>
  </si>
  <si>
    <t xml:space="preserve">                            ค้ำประกันการใช้ไอน้ำต่อบริษัทฯ ตั้งแต่เริ่มแรกที่ใช้ไอน้ำตามอัตราที่ผู้ขายกำหนด แต่ไม่น้อยกว่าค่าไอน้ำสูงสุดของปีที่ผ่านมา</t>
  </si>
  <si>
    <t xml:space="preserve">                            ต่อบริษัทฯ  จำนวน 20,039,710.00 บาท  และส่วนที่เหลืออีก 1 ราย   ค้ำประกันโดยด้วยพันธบัตรธนาคารแห่งประเทศไทย </t>
  </si>
  <si>
    <t xml:space="preserve">                            จำนวน 10,382,000.00 บาท </t>
  </si>
  <si>
    <t xml:space="preserve">                ก่อสร้าง จำนวน 12 สัญญา และ 4 สัญญา เป็นจำนวนคงเหลือตามสัญญา 21.93 ล้านบาท และ 6.13 ล้านบาท ตามลำดับ</t>
  </si>
  <si>
    <t xml:space="preserve">     - บริษัท สหพัฒน์เรียลเอสเตท จำกัด</t>
  </si>
  <si>
    <t xml:space="preserve">     - บริษัท โตโยโบะ สห เซฟตี้ วีฟ จำกัด</t>
  </si>
  <si>
    <t xml:space="preserve">     - PT. DYNIC TEXTILE PRESTIGE</t>
  </si>
  <si>
    <t xml:space="preserve">     - บริษัท เอ เทค เท็กซ์ไทล์ จำกัด</t>
  </si>
  <si>
    <t>A, C, E, F</t>
  </si>
  <si>
    <t xml:space="preserve">       ค่าปรึกษาธุรกิจในอัตราร้อยละ  0.5  และจะจัดเก็บจากบริษัทที่ไม่ได้จ่ายค่าปรึกษาธุรกิจร้อยละ  1  ยกเว้น  บริษัทฯ  ที่ร่วมทุนกับ</t>
  </si>
  <si>
    <t xml:space="preserve">                                         ณ วันที่  31 ธันวาคม  2560  มีผู้ใช้กระแสไฟฟ้า  จำนวน 60 ราย  โดยจำนวน 49 ราย ให้ธนาคารพาณิชย์เป็นผู้ค้ำประกัน</t>
  </si>
  <si>
    <t xml:space="preserve">                             การใช้กระแสไฟฟ้าต่อบริษัทฯ จำนวน 197,800,300.00 บาท จำนวน 6 ราย ได้ค้ำประกันด้วยเงินสด จำนวน 1,487,000.00 บาท </t>
  </si>
  <si>
    <t xml:space="preserve">                             จำนวน 1 ราย ค้ำประกันด้วยพันธบัตรธนาคารแห่งประเทศไทย จำนวน 5,000,000.00 บาท และส่วนที่เหลืออีก 4 ราย ค้ำประกัน</t>
  </si>
  <si>
    <t xml:space="preserve">                             โดยธนาคารพาณิชย์และเงินสด จำนวน 13,097,344.00 บาท</t>
  </si>
  <si>
    <t xml:space="preserve">                                         ณ วันที่  31  ธันวาคม  2559  มีผู้ใช้กระแสไฟฟ้า  จำนวน 58 ราย  โดยจำนวน 47 ราย ให้ธนาคารพาณิชย์เป็นผู้ค้ำประกัน</t>
  </si>
  <si>
    <t xml:space="preserve">                             การใช้กระแสไฟฟ้าต่อบริษัทฯ จำนวน 181,848,300.00 บาท จำนวน 6 ราย ได้ค้ำประกันด้วยเงินสด จำนวน 1,487,000.00 บาท </t>
  </si>
  <si>
    <t xml:space="preserve">                             จำนวน 1 ราย ค้ำประกันด้วยพันธบัตรธนาคารแห่งประเทศไทย จำนวน 6,220,000.00 บาท และส่วนที่เหลืออีก 4 ราย ค้ำประกัน</t>
  </si>
  <si>
    <t xml:space="preserve">                             โดยธนาคารพาณิชย์และเงินสด จำนวน 11,935,044.00 บาท</t>
  </si>
  <si>
    <t xml:space="preserve">                                         ณ วันที่ 31 ธันวาคม 2560 มีผู้ใช้ไอน้ำ จำนวน 22 ราย โดยจำนวน 21 ราย ให้ธนาคารพาณิชย์เป็นผู้ค้ำประกันการใช้ไอน้ำ</t>
  </si>
  <si>
    <t xml:space="preserve">                             7,222,380.13 บาท  และจำนวน  6,322,380.13 บาท   ตามลำดับ   และค้ำประกันการใช้น้ำดิบกับ บริษัท จัดการและพัฒนา</t>
  </si>
  <si>
    <t xml:space="preserve">                             ทรัพยากรน้ำภาคตะวันออก จำกัด (มหาชน) จำนวน 1,130,000.00 บาท และจำนวน 1,720,000.00 บาท ตามลำดับ</t>
  </si>
  <si>
    <t xml:space="preserve">                             ในโครงการสวนอุตสาหกรรมฯ ศรีราชา  บริษัทฯ จะต้องจ่ายชำระค่ากระแสไฟฟ้าตามเงื่อนไขที่กำหนดไว้ในสัญญา โดยผู้ใช้</t>
  </si>
  <si>
    <t xml:space="preserve">                             กระแสไฟฟ้าจะต้องค้ำประกันการใช้ไฟฟ้าต่อบริษัทฯ  ตามขนาดของหม้อแปลงไฟฟ้าที่ขอใช้โดยคิดในราคา 400.00 บาท  </t>
  </si>
  <si>
    <t xml:space="preserve">                             ต่อ 1 KVA โดย              </t>
  </si>
  <si>
    <t xml:space="preserve">                            ต่อบริษัทฯ  จำนวน 19,390,510.00 บาท  และส่วนที่เหลืออีก 1 ราย  ค้ำประกันโดยด้วยพันธบัตรธนาคารแห่งประเทศไทย </t>
  </si>
  <si>
    <t xml:space="preserve">                            จำนวน 12,000,000.00 บาท </t>
  </si>
  <si>
    <t xml:space="preserve">                                         ณ วันที่ 31 ธันวาคม 2559 มีผู้ใช้ไอน้ำ จำนวน 22 ราย โดยจำนวน 21 ราย ให้ธนาคารพาณิชย์เป็นผู้ค้ำประกันการใช้ไอน้ำ</t>
  </si>
  <si>
    <t xml:space="preserve">                    ข้อมูลส่วนงานดำเนินงาน เป็นการนำเสนอมุมมองของผู้บริหารในการรายงานข้อมูลส่วนงาน  โดยข้อมูลส่วนงานอ้างอิงจากข้อมูลภายในที่ได้รายงานต่อผู้มีอำนาจตัดสินใจสูงสุด</t>
  </si>
  <si>
    <t xml:space="preserve">        ด้านการดำเนินงานของบริษัทฯ อย่างสม่ำเสมอ </t>
  </si>
  <si>
    <t xml:space="preserve">                    บริษัทฯ ดำเนินกิจการในส่วนงานธุรกิจเงินลงทุน ธุรกิจให้เช่าและบริการ ธุรกิจสวนอุตสาหกรรม และธุรกิจขายสินค้า ซึ่งดำเนินธุรกิจในส่วนงานทางภูมิศาสตร์ในประเทศไทย ดังนั้น </t>
  </si>
  <si>
    <t xml:space="preserve">                       (ลงชื่อ)……………………………………...……….…………………………กรรมการตามอำนาจ</t>
  </si>
  <si>
    <t xml:space="preserve">    บริษัทฯ มีรายการบัญชีกับกิจการที่เกี่ยวข้องกัน   กิจการเหล่านี้เกี่ยวข้องกัน  โดยการถือหุ้นร่วมกันหรือการมีผู้ถือหุ้นหรือกรรมการบางส่วนร่วมกัน</t>
  </si>
  <si>
    <t xml:space="preserve">    รายการบัญชีกับกิจการที่เกี่ยวข้องกันที่เป็นสาระสำคัญ สิ้นสุดวันที่ 31 ธันวาคม 2560 และ 2559 มีดังนี้</t>
  </si>
  <si>
    <t xml:space="preserve">ลูกหนี้การค้าและลูกหนี้หมุนเวียนอื่น </t>
  </si>
  <si>
    <t>ลูกหนี้ตามสัญญาเช่าซื้อ</t>
  </si>
  <si>
    <t>เจ้าหนี้การค้าและเจ้าหนี้หมุนเวียนอื่น</t>
  </si>
  <si>
    <t xml:space="preserve">       รายได้</t>
  </si>
  <si>
    <t xml:space="preserve">     จากบริษัท สหโคเจน (ชลบุรี) จำกัด (มหาชน)</t>
  </si>
  <si>
    <t>ไม่เกินกว่าราคาจำหน่ายของการประปาส่วน</t>
  </si>
  <si>
    <t xml:space="preserve">     ภูมิภาค</t>
  </si>
  <si>
    <t>รายได้ค่านายหน้า</t>
  </si>
  <si>
    <t>ราคาตามสัญญา</t>
  </si>
  <si>
    <t>ดอกเบี้ยรับตามสัญญาเช่าทางการเงิน</t>
  </si>
  <si>
    <t>อัตราตามที่ตกลงกัน</t>
  </si>
  <si>
    <t>รายได้จากบริการส่งออก</t>
  </si>
  <si>
    <t xml:space="preserve">                (ลงชื่อ)……………………….……………………………………………กรรมการตามอำนาจ</t>
  </si>
  <si>
    <t xml:space="preserve">สำหรับปี สิ้นสุดวันที่ 31 ธันวาคม 2560 และ 2559 รายได้ค่าไฟฟ้าและค่าไอน้ำเป็นรายได้ที่รับจากกิจการที่เกี่ยวข้องกัน จำนวน 1,567.48 ล้านบาท </t>
  </si>
  <si>
    <t xml:space="preserve">         และ 1,550.96 ล้านบาท และรับจากบริษัทอื่น จำนวน 176.07 ล้านบาท และ 168.75 ล้านบาท รวมเป็นเงิน 1,743.55 ล้านบาท และ 1,719.71 ล้านบาท ตามลำดับ</t>
  </si>
  <si>
    <t>ดอกเบี้ยจ่ายหุ้นกู้แปลงสภาพ</t>
  </si>
  <si>
    <t>กำหนดตามอายุหุ้นกู้ และการจัดอันดับ</t>
  </si>
  <si>
    <t xml:space="preserve">     ความน่าเชื่อถือของบริษัท (AA)</t>
  </si>
  <si>
    <t xml:space="preserve">          เป็นต้นทุนที่จ่ายให้บริษัท สหโคเจน (ชลบุรี) จำกัด (มหาชน) ซึ่งเป็นกิจการที่เกี่ยวข้องกัน  และได้ขายให้กิจการที่เกี่ยวข้องกัน และบริษัทอื่น</t>
  </si>
  <si>
    <t xml:space="preserve">   รายการขายเงินลงทุน</t>
  </si>
  <si>
    <t xml:space="preserve">       ซึ่งรายการดังกล่าวเป็นรายการที่เกิดขึ้นตามปกติทางการค้าเช่นเดียวกับบริษัทอื่น </t>
  </si>
  <si>
    <t>รายการซื้อ-ขายสินทรัพย์กับบุคคลและกิจการที่เกี่ยวข้องกันสำหรับปี สิ้นสุดวันที่ 31 ธันวาคม 2560 และ 2559 มีดังนี้</t>
  </si>
  <si>
    <t>รายการซื้อ-ขายเงินลงทุนกับบุคคลและกิจการที่เกี่ยวข้องกันสำหรับปี สิ้นสุดวันที่ 31 ธันวาคม 2560 และ 2559 มีดังนี้</t>
  </si>
  <si>
    <t>ค่าตอบแทนกรรมการและผู้บริหารสำหรับปี สิ้นสุดวันที่ 31 ธันวาคม 2560 และ 2559 มีดังนี้</t>
  </si>
  <si>
    <t xml:space="preserve">                  รายละเอียดของนโยบายการบัญชีที่สำคัญ   วิธีการใช้ซึ่งรวมถึงเกณฑ์ในการรับรู้และวัดมูลค่าที่เกี่ยวกับสินทรัพย์   และ</t>
  </si>
  <si>
    <t xml:space="preserve">                  หนี้สินทางการเงินแต่ละประเภท  ได้เปิดเผยไว้แล้วในหมายเหตุข้อ 3</t>
  </si>
  <si>
    <t xml:space="preserve">                  บริษัทฯ ไม่มีนโยบายในการประกอบธุรกรรมทางตราสารทางการเงิน  เพื่อเก็งกำไรหรือเพื่อค้า</t>
  </si>
  <si>
    <t xml:space="preserve">                  บริษัทฯ อาจมีความเสี่ยงที่เกิดจากการเปลี่ยนแปลงของอัตราดอกเบี้ยในตลาด  ซึ่งมีผลกระทบต่อผลการดำเนินงานและ</t>
  </si>
  <si>
    <t xml:space="preserve">                  กระแสเงินสด     </t>
  </si>
  <si>
    <t xml:space="preserve">                  บริษัทฯ    มีความเสี่ยงด้านการให้สินเชื่อที่เกี่ยวเนื่องกับลูกหนี้การค้า    โดยมีนโยบายการให้สินเชื่ออย่างระมัดระวัง</t>
  </si>
  <si>
    <t xml:space="preserve">                  ซึ่งลูกหนี้การค้าส่วนใหญ่มีการติดต่อกันมาเป็นเวลานาน  ยกเว้นลูกหนี้การค้ากิจการที่เกี่ยวข้องกันรายหนึ่ง เป็นลูกหนี้</t>
  </si>
  <si>
    <t xml:space="preserve">                  จากการขายสินค้าโดยบริษัทฯ กำหนดระยะเวลาการให้สินเชื่อมากกว่าลูกหนี้การค้ารายอื่น โดยกำหนดไว้จำนวน 180 วัน</t>
  </si>
  <si>
    <t xml:space="preserve">                  อย่างไรก็ตาม ฝ่ายบริหารของบริษัทฯ เชื่อว่าไม่มีความเสี่ยงจากการที่ลูกหนี้การค้าจะไม่ชำระหนี้</t>
  </si>
  <si>
    <t xml:space="preserve">                  บริษัทฯ มีความเสี่ยงเกี่ยวกับอัตราแลกเปลี่ยนเงินตราต่างประเทศในธุรกิจทางการค้า จากค่าลิขสิทธิ์รับและค่าลิขสิทธิ์</t>
  </si>
  <si>
    <t xml:space="preserve">                  จ่าย  การซื้อสินค้า  และเงินลงทุนในต่างประเทศ    โดยบริษัทฯ    มิได้ทำสัญญาป้องกันความเสี่ยงไว้เป็นการล่วงหน้า      </t>
  </si>
  <si>
    <t xml:space="preserve">                  เนื่องจากความเสี่ยงอยู่ในระดับต่ำจนไม่มีนัยสำคัญ</t>
  </si>
  <si>
    <t xml:space="preserve">                 เนื่องจากสินทรัพย์ทางการเงินส่วนใหญ่จัดเป็นระยะสั้นและเงินกู้ยืมมีอัตราดอกเบี้ยอยู่ในเกณฑ์เดียวกับตลาด ราคาตาม</t>
  </si>
  <si>
    <t xml:space="preserve">                 บัญชีของสินทรัพย์และหนี้สินทางการเงินที่แสดงในงบแสดงฐานะการเงินมีมูลค่าใกล้เคียงกับมูลค่ายุติธรรม  นอกจากนี้</t>
  </si>
  <si>
    <t xml:space="preserve">                 ผู้บริหารเชื่อว่าบริษัทฯ ไม่มีความเสี่ยงจากเครื่องมือทางการเงินที่มีนัยสำคัญ</t>
  </si>
  <si>
    <t xml:space="preserve">          ณ วันที่ 31 ธันวาคม 2560 และ 2559 บริษัทฯ มีสินทรัพย์ทางการเงินและหนี้สินทางการเงินที่มีความเสี่ยงจากอัตราดอกเบี้ย ดังนี้</t>
  </si>
  <si>
    <t xml:space="preserve">          อัตราดอกเบี้ยและเงินที่ครบกำหนดของเครื่องมือทางการเงินจากวันที่ในงบแสดงฐานะการเงิน ณ วันที่ 31 ธันวาคม 2560 และ 2559 ดังนี้</t>
  </si>
  <si>
    <t xml:space="preserve">        ที่เกี่ยวข้องกำหนดให้ต้องวัดมูลค่าด้วยมูลค่ายุติธรรม  ยกเว้นในกรณีที่ไม่มีตลาดที่มีสภาพคล่อง หรือไม่สามารถหาราคา</t>
  </si>
  <si>
    <t xml:space="preserve">        เสนอซื้อขายในตลาดที่มีสภาพคล่องได้  บริษัทฯจะใช้วิธีราคาทุนหรือวิธีรายได้ในการวัดมูลค่ายุติธรรมของสินทรัพย์</t>
  </si>
  <si>
    <t xml:space="preserve">        และหนี้สินดังกล่าวแทน</t>
  </si>
  <si>
    <r>
      <t xml:space="preserve">        </t>
    </r>
    <r>
      <rPr>
        <u val="single"/>
        <sz val="16"/>
        <rFont val="AngsanaUPC"/>
        <family val="1"/>
      </rPr>
      <t>ลำดับชั้นของมูลค่ายุติธรรม</t>
    </r>
  </si>
  <si>
    <t xml:space="preserve">        หรือหนี้สินที่จะวัดมูลค่ายุติธรรมให้มากที่สุด โดยให้คำนิยามของลำดับชั้นของมูลค่ายุติธรรมที่แตกต่างกัน ดังนี้</t>
  </si>
  <si>
    <t xml:space="preserve">        สินทรัพย์ที่วัดมูลค่าด้วยมูลค่ายุติธรรม</t>
  </si>
  <si>
    <t>ณ วันที่ 31 ธันวาคม 2560 บริษัทฯ มีสินทรัพย์ที่วัดมูลค่าด้วยมูลค่ายุติธรรมแยกแสดงตามลำดับชั้นของมูลค่ายุติธรรม ดังนี้</t>
  </si>
  <si>
    <t>2.  เกณฑ์ในการจัดทำงบการเงิน</t>
  </si>
  <si>
    <t xml:space="preserve">     2.1  เกณฑ์ในการจัดทำงบการเงิน</t>
  </si>
  <si>
    <t xml:space="preserve">     2.2  มาตรฐานการรายงานทางการเงินใหม่</t>
  </si>
  <si>
    <t>2.  เกณฑ์ในการจัดทำงบการเงิน (ต่อ)</t>
  </si>
  <si>
    <t>มาตรฐานการรายงานทางการเงินที่เริ่มมีผลบังคับในปีบัญชีปัจจุบันและที่จะมีผลบังคับในอนาคต มีรายละเอียดดังนี้</t>
  </si>
  <si>
    <t xml:space="preserve">             ก)  มาตรฐานการรายงานทางการเงินที่เริ่มมีผลบังคับใช้ในปีปัจจุบัน</t>
  </si>
  <si>
    <t xml:space="preserve">ในระหว่างปี บริษัทฯ และบริษัทย่อย ได้นำมาตรฐานการรายงานทางการเงินและการตีความมาตรฐานการรายงาน ฉบับปรับปรุง </t>
  </si>
  <si>
    <t xml:space="preserve">             (ปรับปรุง 2559) รวมถึงแนวปฏิบัติทางบัญชีฉบับใหม่ ซึ่งมีผลบังคับใช้สำหรับงบการเงินที่มีรอบระยะเวลาบัญชีที่เริ่มในหรือหลังวันที่</t>
  </si>
  <si>
    <t xml:space="preserve">             1  มกราคม  2560 มาถือปฏิบัติ  มาตรฐานการรายงานทางการเงินดังกล่าวได้รับการปรับปรุงหรือจัดให้มีขึ้นเพื่อให้มีเนื้อหาเท่าเทียมกับ</t>
  </si>
  <si>
    <t xml:space="preserve">             มาตรฐานการรายงานทางการเงินระหว่างประเทศ  โดยส่วนใหญ่เป็นการปรับปรุงถ้อยคำและคำศัพท์การตีความและการให้แนวปฏิบัติ</t>
  </si>
  <si>
    <t xml:space="preserve">             ทางการบัญชีกับผู้ใช้มาตรฐาน  การนำมาตรฐานการรายงานทางการเงินดังกล่าวมาถือปฏิบัตินี้ไม่มีผลกระทบอย่างเป็นสาระสำคัญต่อ</t>
  </si>
  <si>
    <t xml:space="preserve">             งบการเงินของบริษัทฯ และบริษัทย่อย</t>
  </si>
  <si>
    <t xml:space="preserve">             ข)  มาตรฐานการรายงานทางการเงินที่จะมีผลบังคับใช้ในอนาคต</t>
  </si>
  <si>
    <t>ในระหว่างปีปัจจุบัน สภาวิชาชีพบัญชีได้ประกาศใช้มาตรฐานการรายงานทางการเงินและการตีความมาตรฐานการรายงาน</t>
  </si>
  <si>
    <t xml:space="preserve">             ทางการเงินฉบับปรับปรุง (ปรับปรุง 2560) จำนวนหลายฉบับ ซึ่งมีผลบังคับใช้สำหรับงบการเงินที่มีรอบระยะเวลาบัญชีที่เริ่มในหรือ</t>
  </si>
  <si>
    <t xml:space="preserve">             หลังวันที่ 1 มกราคม 2561  มาตรฐานการรายงานทางการเงินดังกล่าวได้รับการปรับปรุงหรือจัดให้มีขึ้น  เพื่อให้มีเนื้อหาเท่าเทียมกับ</t>
  </si>
  <si>
    <t xml:space="preserve">             มาตรฐานการรายงานทางการเงินระหว่างประเทศ โดยส่วนใหญ่เป็นการปรับปรุงและอธิบายให้ชัดเจนเกี่ยวกับการเปิดเผยข้อมูลใน</t>
  </si>
  <si>
    <t xml:space="preserve">             หมายเหตุประกอบงบการเงิน</t>
  </si>
  <si>
    <t>ฝ่ายบริหารของบริษัทฯ และบริษัทย่อยเชื่อว่ามาตรฐานการรายงานทางการเงินฉบับปรับปรุงจะไม่มีผลกระทบอย่างเป็น</t>
  </si>
  <si>
    <t xml:space="preserve">             สาระสำคัญต่องบการเงินเมื่อนำมาถือปฏิบัติ</t>
  </si>
  <si>
    <t>งบการเงินนี้ได้จัดทำขึ้นตามมาตรฐานการรายงานทางการเงิน ภายใต้พระราชบัญญัติวิชาชีพบัญชี พ.ศ. 2547 และแสดงรายการ</t>
  </si>
  <si>
    <t xml:space="preserve">     ตามประกาศกรมพัฒนาธุรกิจการค้าโดยกระทรวงพาณิชย์ ลงวันที่ 11 ตุลาคม 2559  เรื่องกำหนดรายการย่อที่ต้องมีในงบการเงิน (ฉบับที่ 2) </t>
  </si>
  <si>
    <t xml:space="preserve">     พ.ศ. 2559 และตามกฎระเบียบและประกาศคณะกรรมการกำกับหลักทรัพย์ และตลาดหลักทรัพย์ที่เกี่ยวข้อง</t>
  </si>
  <si>
    <t xml:space="preserve">     รายการที่เปิดเผยไว้ในนโยบายการบัญชีที่เกี่ยวข้อง</t>
  </si>
  <si>
    <t>งบการเงินของบริษัทฯ  จัดทำขึ้นโดยใช้เกณฑ์ราคาทุนเดิมในการวัดมูลค่าขององค์ประกอบของรายการในงบการเงิน ยกเว้น</t>
  </si>
  <si>
    <t>งบการเงินฉบับภาษาไทยเป็นงบการเงินฉบับที่บริษัทฯ  ใช้เป็นทางการตามกฎหมาย  งบการเงินฉบับภาษาอังกฤษแปลจาก</t>
  </si>
  <si>
    <t>- 13 -</t>
  </si>
  <si>
    <t>- 14 -</t>
  </si>
  <si>
    <t>- 18 -</t>
  </si>
  <si>
    <t>- 19 -</t>
  </si>
  <si>
    <t>- 22 -</t>
  </si>
  <si>
    <t>- 23 -</t>
  </si>
  <si>
    <t>- 24 -</t>
  </si>
  <si>
    <t xml:space="preserve"> - 30 -</t>
  </si>
  <si>
    <t xml:space="preserve"> - 31 -</t>
  </si>
  <si>
    <t>- 37 -</t>
  </si>
  <si>
    <t>- 38 -</t>
  </si>
  <si>
    <t xml:space="preserve"> - 40 -</t>
  </si>
  <si>
    <t xml:space="preserve"> - 44 -</t>
  </si>
  <si>
    <t xml:space="preserve"> - 45 -</t>
  </si>
  <si>
    <t>- 46 -</t>
  </si>
  <si>
    <t xml:space="preserve">           </t>
  </si>
  <si>
    <t xml:space="preserve">ณ วันที่ 31 ธันวาคม 2560  บริษัทฯ มีลูกหนี้การค้าและลูกหนี้หมุนเวียนอื่นจากกิจการที่เกี่ยวข้องกันตามงบการเงินรวม  และงบการเงินเฉพาะกิจการ </t>
  </si>
  <si>
    <t xml:space="preserve">     (หลังควบรวมกิจการ)</t>
  </si>
  <si>
    <t xml:space="preserve">บริษัท ไอ.ซี.ซี. อินเตอร์เนชั่นแนล จำกัด </t>
  </si>
  <si>
    <t xml:space="preserve">     (มหาชน)</t>
  </si>
  <si>
    <t xml:space="preserve">บริษัท เอส.ที.(ไทยแลนด์) จำกัด </t>
  </si>
  <si>
    <t>บริษัท เอ็กแซ็ค คิว จำกัด</t>
  </si>
  <si>
    <t xml:space="preserve">บริษัท อาซาฮี คาเซอิ สปันบอนด์ </t>
  </si>
  <si>
    <t xml:space="preserve">     (ประเทศไทย) จำกัด</t>
  </si>
  <si>
    <t xml:space="preserve">บริษัท วาโก้ศรีราชา จำกัด (เดิมชื่อ บริษัท </t>
  </si>
  <si>
    <t xml:space="preserve">     เอสอาร์.ดับบลิว.การ์เมนท์ จำกัด)</t>
  </si>
  <si>
    <t xml:space="preserve">      (ลงชื่อ)……………………….……………………………………………กรรมการตามอำนาจ</t>
  </si>
  <si>
    <t xml:space="preserve">                     มีรายละเอียด ดังนี้</t>
  </si>
  <si>
    <t>บริษัท อีสเทิร์น ไทย คอนซัลติ้ง 1992 จำกัด</t>
  </si>
  <si>
    <t>บริษัท ไทซันฟูดส์ จำกัด</t>
  </si>
  <si>
    <t>บริษัท ยูนีเวอร์สบิวตี้ จำกัด</t>
  </si>
  <si>
    <t>บริษัท ไดอิชิแพคเกจจิ้ง จำกัด</t>
  </si>
  <si>
    <t xml:space="preserve">ณ วันที่ 31 ธันวาคม 2560  บริษัทฯ มีเจ้าหนี้การค้าและเจ้าหนี้หมุนเวียนอื่นจากกิจการที่เกี่ยวข้องกันตามงบการเงินรวม  และงบการเงินเฉพาะกิจการ </t>
  </si>
  <si>
    <t xml:space="preserve">ณ วันที่ 31 ธันวาคม 2560  บริษัทฯ มีเงินรับล่วงหน้าและเงินประกันจากกิจการที่เกี่ยวข้องกันตามงบการเงินรวม  และงบการเงินเฉพาะกิจการ </t>
  </si>
  <si>
    <t>บริษัท แม่สอด ซาคาเอะเลซ จำกัด</t>
  </si>
  <si>
    <t xml:space="preserve">     (ก่อนควบรวมกิจการ)</t>
  </si>
  <si>
    <t>บริษัท โอ ซี ซี จำกัด (มหาชน)</t>
  </si>
  <si>
    <t>บริษัท โทเทิลเวย์อิมเมจ จำกัด</t>
  </si>
  <si>
    <t>บริษัท ไทยสปอร์ตการ์เมนต์ จำกัด</t>
  </si>
  <si>
    <t>56</t>
  </si>
  <si>
    <t>57</t>
  </si>
  <si>
    <t>58</t>
  </si>
  <si>
    <t>59</t>
  </si>
  <si>
    <t xml:space="preserve">บริษัท เค.คอมเมอร์เชียล แอนด์ </t>
  </si>
  <si>
    <t xml:space="preserve">     คอนสตรัคชั่น จำกัด</t>
  </si>
  <si>
    <t>60</t>
  </si>
  <si>
    <t>61</t>
  </si>
  <si>
    <t>62</t>
  </si>
  <si>
    <t>บริษัท วีน อินเตอร์เนชั่นแนล จำกัด</t>
  </si>
  <si>
    <t>63</t>
  </si>
  <si>
    <t>64</t>
  </si>
  <si>
    <t>65</t>
  </si>
  <si>
    <t>66</t>
  </si>
  <si>
    <t>67</t>
  </si>
  <si>
    <t>68</t>
  </si>
  <si>
    <t>69</t>
  </si>
  <si>
    <t>บริษัท เพรซิเดนท์ไรซ์โปรดักส์ จำกัด (มหาชน)</t>
  </si>
  <si>
    <t>70</t>
  </si>
  <si>
    <t>71</t>
  </si>
  <si>
    <t>72</t>
  </si>
  <si>
    <t>73</t>
  </si>
  <si>
    <t xml:space="preserve">บริษัท ไทเกอร์ ดิสทริบิวชั่น แอนด์ </t>
  </si>
  <si>
    <t xml:space="preserve">     โลจิสติคส์ จำกัด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</si>
  <si>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</si>
  <si>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</si>
  <si>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</si>
  <si>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</si>
  <si>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</si>
  <si>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</si>
  <si>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</si>
  <si>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</si>
  <si>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</si>
  <si>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</si>
  <si>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</si>
  <si>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</si>
  <si>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</si>
  <si>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</si>
  <si>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</si>
  <si>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</si>
  <si>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</si>
  <si>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บริษัท เค.ที.วาย อินดัสตรี จำกัด</t>
  </si>
  <si>
    <t>91</t>
  </si>
  <si>
    <t>92</t>
  </si>
  <si>
    <t>93</t>
  </si>
  <si>
    <t>94</t>
  </si>
  <si>
    <t>95</t>
  </si>
  <si>
    <t>96</t>
  </si>
  <si>
    <t>97</t>
  </si>
  <si>
    <t>98</t>
  </si>
  <si>
    <t>บริษัท บุญวัฒนโชค จำกัด</t>
  </si>
  <si>
    <t>99</t>
  </si>
  <si>
    <t>บริษัท แอดแวนเทจ ฟุตแวร์ จำกัด</t>
  </si>
  <si>
    <t>100</t>
  </si>
  <si>
    <t>101</t>
  </si>
  <si>
    <t>102</t>
  </si>
  <si>
    <t>103</t>
  </si>
  <si>
    <t xml:space="preserve">บริษัท บางกอกรับเบอร์ ดีเวลลอปเมนต์ </t>
  </si>
  <si>
    <t xml:space="preserve">     เซ็นเตอร์ จำกัด</t>
  </si>
  <si>
    <t>104</t>
  </si>
  <si>
    <t>- 57 -</t>
  </si>
  <si>
    <t>- 59 -</t>
  </si>
  <si>
    <t xml:space="preserve">บริษัท เอ็นไวรอนเมนทอล เทคโนโลยี </t>
  </si>
  <si>
    <t xml:space="preserve">     คอนซัลแตนท์ จำกัด</t>
  </si>
  <si>
    <t>บริษัท ไอ.ดี.เอฟ. จำกัด</t>
  </si>
  <si>
    <t>บริษัท โชควัฒนา จำกัด</t>
  </si>
  <si>
    <t>- 60 -</t>
  </si>
  <si>
    <t>- 61 -</t>
  </si>
  <si>
    <t>TAKA 630,000</t>
  </si>
  <si>
    <t xml:space="preserve">A, C, E, F </t>
  </si>
  <si>
    <t xml:space="preserve">       จำนวนเงิน 11,390 ล้านบาท และ 3,740 ล้านบาท ตามลำดับ  และวงเงินกู้ยืมจากสถาบันการเงินต่างประเทศ 3 แห่ง  และ 2 แห่ง  </t>
  </si>
  <si>
    <t xml:space="preserve">    ณ วันที่ 31 ธันวาคม 2560 และ 2559 บริษัทฯ  มีวงเงินกู้ยืมจากธนาคารและสถาบันการเงินในประเทศ 5 แห่ง และ 6 แห่ง </t>
  </si>
  <si>
    <t xml:space="preserve">     ** ตารางมรณะไทยปี  2560</t>
  </si>
  <si>
    <t xml:space="preserve">    ณ วันที่ 31 ธันวาคม 2560 และ 2559  บริษัทฯ  มียอดวงเงินค้ำประกัน  จำนวน 850.53 ล้านบาท และจำนวน  311.90 ล้านบาท</t>
  </si>
  <si>
    <t xml:space="preserve">        ตามลำดับ โดยมียอดใช้ไป จำนวน 689.23 ล้านบาท  และจำนวน 156.94 ล้านบาท ตามลำดับ</t>
  </si>
  <si>
    <t xml:space="preserve">       20.1  เงินเบิกเกินบัญชีธนาคาร</t>
  </si>
  <si>
    <t xml:space="preserve">       20.2  เงินกู้ยืมจากธนาคาร</t>
  </si>
  <si>
    <t xml:space="preserve">       เกี่ยวข้องกัน 2 แห่ง และ 1 แห่ง จำนวนเงิน 13.57 ล้านบาท และ 4.57 ล้านบาท ตามลำดับ</t>
  </si>
  <si>
    <t>27.  เงินปันผล</t>
  </si>
  <si>
    <t xml:space="preserve">        27.1  ตามมติที่ประชุมคณะกรรมการบริษัท ครั้งที่ 8 (ชุดที่ 24) เมื่อวันที่ 13 พฤศจิกายน 2560 อนุมัติให้จ่ายเงินปันผลจากการดำเนินงาน</t>
  </si>
  <si>
    <t xml:space="preserve">        27.2  ตามมติที่ประชุมสามัญผู้ถือหุ้น ครั้งที่ 46 ประจำปี 2560 เมื่อวันที่ 25 เมษายน 2560 อนุมัติให้จ่ายเงินปันผลจากการดำเนินงาน</t>
  </si>
  <si>
    <t xml:space="preserve">        27.3  ตามมติที่ประชุมคณะกรรมการบริษัท ครั้งที่ 7 (ชุดที่ 23) เมื่อวันที่ 11 พฤศจิกายน 2559 อนุมัติให้จ่ายเงินปันผลระหว่างกาล</t>
  </si>
  <si>
    <t xml:space="preserve">        27.4  ตามมติที่ประชุมสามัญผู้ถือหุ้น ครั้งที่ 45 ประจำปี 2559 เมื่อวันที่ 25 เมษายน 2559 อนุมัติให้จ่ายเงินปันผลจากการดำเนินงาน</t>
  </si>
  <si>
    <t>28.  สำรองตามกฎหมาย</t>
  </si>
  <si>
    <t>29.  สำรองทั่วไป</t>
  </si>
  <si>
    <t>30.  ภาษีเงินได้</t>
  </si>
  <si>
    <t>30.  ภาษีเงินได้ (ต่อ)</t>
  </si>
  <si>
    <t>31.  กองทุนสำรองเลี้ยงชีพ</t>
  </si>
  <si>
    <t>32.  ค่าใช้จ่ายตามลักษณะ</t>
  </si>
  <si>
    <t>33.  การบริหารการจัดการทุน</t>
  </si>
  <si>
    <t xml:space="preserve">34.  ค่าตอบแทนกรรมการ </t>
  </si>
  <si>
    <t>35.  ค่าตอบแทนผู้บริหาร</t>
  </si>
  <si>
    <t xml:space="preserve">36.  กำไรต่อหุ้น  </t>
  </si>
  <si>
    <t>37.  ภาระผูกพันและหนี้สินที่อาจเกิดขึ้นในภายหน้า</t>
  </si>
  <si>
    <t xml:space="preserve">        37.1 บริษัทฯ มีภาระผูกพันที่แสดงไว้ในงบการเงินรวมและงบการเงินเฉพาะกิจการ ณ วันที่ 31 ธันวาคม 2560 และ 2559 ดังนี้ </t>
  </si>
  <si>
    <t xml:space="preserve">                 37.1.1  บริษัทฯ ขอให้ธนาคารออกหนังสือค้ำประกันการใช้กระแสไฟฟ้ากับการไฟฟ้านครหลวงและการไฟฟ้าส่วนภูมิภาค จำนวน</t>
  </si>
  <si>
    <t xml:space="preserve">                 37.1.2  บริษัทฯ  ทำสัญญาใช้เครื่องหมายการค้ากับบริษัทในต่างประเทศ  สำหรับสินค้าอุปโภคบริโภคซึ่งเป็นสัญญาต่างตอบแทน</t>
  </si>
  <si>
    <t xml:space="preserve">                 37.1.3  บริษัทฯ  ได้ทำสัญญาในการซื้อกระแสไฟฟ้าจากบริษัทในเครือแห่งหนึ่งเป็นระยะเวลา 15 ปี เพื่อจำหน่ายแก่ผู้ใช้กระแสไฟฟ้า</t>
  </si>
  <si>
    <t xml:space="preserve">                 37.1.4  บริษัทฯ  ได้ทำสัญญาในการซื้อไอน้ำจากบริษัทในเครือแห่งหนึ่งเป็นระยะเวลา 15 ปี  เพื่อจำหน่ายแก่ผู้ใช้ไอน้ำในโครงการ</t>
  </si>
  <si>
    <t xml:space="preserve">        37.2  ณ วันที่ 31 ธันวาคม 2560 และ 2559 บริษัทฯ มีภาระผูกพันจากสัญญาก่อสร้างภายในสวนอุตสาหกรรมเครือสหพัฒน์ โดยมีสัญญา</t>
  </si>
  <si>
    <t xml:space="preserve">        37.3 ณ วันที่ 31 ธันวาคม 2560 และ 2559 บริษัทฯ มีวงเงินสำหรับการใช้จ่ายเงินตราต่างประเทศกับธนาคารพาณิชย์ 2 แห่ง</t>
  </si>
  <si>
    <t>37.  ภาระผูกพันและหนี้สินที่อาจเกิดขึ้นในภายหน้า (ต่อ)</t>
  </si>
  <si>
    <t xml:space="preserve">       37.4 บริษัทฯ มีวงเงินค้ำประกันที่ทำกับธนาคาร สถาบันการเงินและบริษัทต่างๆ ให้กับกิจการที่เกี่ยวข้องกัน ดังนี้</t>
  </si>
  <si>
    <t>38.  การเสนอข้อมูลทางการเงินจำแนกตามส่วนงาน</t>
  </si>
  <si>
    <t>38.  การเสนอข้อมูลทางการเงินจำแนกตามส่วนงาน (ต่อ)</t>
  </si>
  <si>
    <t xml:space="preserve">        38.2  ข้อมูลทางการเงินจำแนกตามส่วนงาน ในงบการเงินเฉพาะกิจการ สำหรับปีสิ้นสุดวันที่ 31 ธันวาคม 2560 และ 2559 ดังนี้</t>
  </si>
  <si>
    <t>39.  รายการบัญชีกับกิจการที่เกี่ยวข้องกัน</t>
  </si>
  <si>
    <t>39.  รายการบัญชีกับกิจการที่เกี่ยวข้องกัน (ต่อ)</t>
  </si>
  <si>
    <t xml:space="preserve">          39.1  ลูกหนี้การค้าและลูกหนี้หมุนเวียนอื่น-กิจการที่เกี่ยวข้องกัน</t>
  </si>
  <si>
    <t xml:space="preserve">          39.2  ลูกหนี้ตามสัญญาเช่าซื้อ</t>
  </si>
  <si>
    <t xml:space="preserve">          39.1  ลูกหนี้การค้าและลูกหนี้หมุนเวียนอื่น-กิจการที่เกี่ยวข้องกัน (ต่อ)</t>
  </si>
  <si>
    <t xml:space="preserve">          39.3  เจ้าหนี้การค้าและเจ้าหนี้หมุนเวียนอื่น-กิจการที่เกี่ยวข้องกัน</t>
  </si>
  <si>
    <t xml:space="preserve">          39.2  ลูกหนี้ตามสัญญาเช่าซื้อ (ต่อ)</t>
  </si>
  <si>
    <t xml:space="preserve">          39.4  เงินรับล่วงหน้าและเงินประกัน</t>
  </si>
  <si>
    <t xml:space="preserve">          39.5  รายได้</t>
  </si>
  <si>
    <t xml:space="preserve">          39.5  รายได้ (ต่อ)</t>
  </si>
  <si>
    <t xml:space="preserve">          39.6  ต้นทุนสาธารณูปโภคและค่าบริการ</t>
  </si>
  <si>
    <t xml:space="preserve">          39.7  รายจ่ายเพื่อการก่อสร้าง</t>
  </si>
  <si>
    <t xml:space="preserve">          39.8  ค่าใช้จ่ายอื่น</t>
  </si>
  <si>
    <t xml:space="preserve">ในปี 2560  บริษัทฯ มีต้นทุนสาธารณูปโภคและค่าบริการจากกิจการและบุคคลที่เกี่ยวข้องกันตามงบการเงินรวม และงบการเงินเฉพาะกิจการ </t>
  </si>
  <si>
    <t xml:space="preserve">ในปี 2560  บริษัทฯ มีรายจ่ายเพื่อการก่อสร้างจากกิจการและบุคคลที่เกี่ยวข้องกันตามงบการเงินรวม  และงบการเงินเฉพาะกิจการ จำนวน 5 ราย   </t>
  </si>
  <si>
    <t>40.  การเปิดเผยข้อมูลเกี่ยวกับเครื่องมือทางการเงิน</t>
  </si>
  <si>
    <t xml:space="preserve">        40.1  นโยบายการบัญชี</t>
  </si>
  <si>
    <t xml:space="preserve">        40.2  การบริหารความเสี่ยง</t>
  </si>
  <si>
    <t xml:space="preserve">        40.3  ความเสี่ยงเกี่ยวกับอัตราดอกเบี้ย</t>
  </si>
  <si>
    <t xml:space="preserve">        40.4  ความเสี่ยงด้านสินเชื่อ</t>
  </si>
  <si>
    <t xml:space="preserve">        40.5  ความเสี่ยงจากอัตราแลกเปลี่ยน</t>
  </si>
  <si>
    <t xml:space="preserve">       40.6  ราคายุติธรรมของเครื่องมือทางการเงิน</t>
  </si>
  <si>
    <t>40.  การเปิดเผยข้อมูลเกี่ยวกับเครื่องมือทางการเงิน (ต่อ)</t>
  </si>
  <si>
    <t>40.6  ราคายุติธรรมของเครื่องมือทางการเงิน (ต่อ)</t>
  </si>
  <si>
    <t>41.  การวัดมูลค่ายุติธรรม</t>
  </si>
  <si>
    <t>42.  เหตุการณ์ภายหลังรอบระยะเวลารายงาน</t>
  </si>
  <si>
    <t>43.  การแก้ไขข้อผิดพลาด</t>
  </si>
  <si>
    <t>44.  การอนุมัติงบการเงิน</t>
  </si>
  <si>
    <t xml:space="preserve">          39.9  ขายทรัพย์สิน</t>
  </si>
  <si>
    <t xml:space="preserve">ในปี 2560 บริษัทฯ มีการขายทรัพย์สินให้กิจการและบุคคลที่เกี่ยวข้องกันตามงบการเงินรวม และงบการเงินเฉพาะกิจการ จำนวน 2 ราย เป็นจำนวนเงิน   </t>
  </si>
  <si>
    <t xml:space="preserve">   รายการซิ้อเงินลงทุน</t>
  </si>
  <si>
    <t xml:space="preserve">          39.10  ซื้อเงินลงทุน</t>
  </si>
  <si>
    <t xml:space="preserve">          39.11  ขายเงินลงทุน</t>
  </si>
  <si>
    <t>- 62 -</t>
  </si>
  <si>
    <t xml:space="preserve"> - 64 -</t>
  </si>
  <si>
    <t>- 65 -</t>
  </si>
  <si>
    <t>-</t>
  </si>
  <si>
    <t>และส่งผลต่อการรับรู้ส่วนได้เสียของบริษัทฯ เป็นจำนวนเงิน 466.59 ล้านบาท ซึ่งแสดงในกำไรขาดทุนเบ็ดเสร็จอื่น</t>
  </si>
  <si>
    <t xml:space="preserve">ในปี 2560 บริษัทฯ มีการซื้อเงินลงทุนจากกิจการและบุคคลที่เกี่ยวข้องกันตามงบการเงินรวม และงบการเงินเฉพาะกิจการ จำนวน 1 ราย เป็นจำนวนเงิน   </t>
  </si>
  <si>
    <t xml:space="preserve">                     ทั้งสิ้น 27,319,200.00 บาท มีรายละเอียด ดังนี้</t>
  </si>
  <si>
    <t>บริษัท บุญ แคปปิตอลโฮลดิ้ง จำกัด</t>
  </si>
  <si>
    <t xml:space="preserve">ในปี 2560 บริษัทฯ มีการขายเงินลงทุนจากกิจการและบุคคลที่เกี่ยวข้องกันตามงบการเงินรวม และงบการเงินเฉพาะกิจการ จำนวน 5 ราย เป็นจำนวนเงิน   </t>
  </si>
  <si>
    <t xml:space="preserve">                     ทั้งสิ้น 104,642,310.00 บาท มีรายละเอียด ดังนี้</t>
  </si>
  <si>
    <t xml:space="preserve"> - 63 -</t>
  </si>
  <si>
    <t xml:space="preserve">       จำนวนเงิน 6,210 ล้านบาท และ 700 ล้านบาท ตามลำดับ  อัตราดอกเบี้ยคงที่ตามตั๋วสัญญาใช้เงินและตามสัญญาที่ตกลงกัน</t>
  </si>
  <si>
    <t>หุ้นกู้</t>
  </si>
  <si>
    <t>หุ้นกู้แปลงสภาพ</t>
  </si>
  <si>
    <t>อัตราคงที่ตามตั๋วสัญญา</t>
  </si>
  <si>
    <t>ใช้เงินและตามสัญญาที่</t>
  </si>
  <si>
    <t>ตกลงกัน</t>
  </si>
  <si>
    <t>2.39%, 3.44%</t>
  </si>
  <si>
    <t>งบการเงินนี้ได้รับการอนุมัติให้ออกงบการเงินโดยคณะกรรมการของบริษัทฯ เมื่อวันที่ 12 มีนาคม 2561</t>
  </si>
  <si>
    <t>ตามรายงานการประชุมคณะกรรมการบริษัทครั้งที่  12 ( ชุดที่ 24 )  เมื่อวันที่ 12 มีนาคม 2561  มีมติเห็นชอบให้เสนอ</t>
  </si>
  <si>
    <t>ณ วันที่  31 ธันวาคม  2560  และ  2559  บริษัทฯ บันทึกเงินลงทุนและส่วนได้เสียจากงบการเงิน ที่ผ่านการตรวจสอบแล้ว</t>
  </si>
  <si>
    <t>ณ  วันที่  31  ธันวาคม  2560  และ  2559  บริษัทฯ บันทึกเงินลงทุนและส่วนได้เสียจากงบการเงิน ที่ผ่านการตรวจสอบแล้ว</t>
  </si>
  <si>
    <t>ณ วันที่  31 ธันวาคม  2560  และ  2559  บริษัทฯ บันทึกเงินลงทุน และส่วนได้เสียในบริษัทจำกัด จากงบการเงินที่ผ่านการ</t>
  </si>
  <si>
    <t xml:space="preserve"> ณ วันที่ 31 ธันวาคม 2559</t>
  </si>
  <si>
    <t>ก่อนปรับปรุง</t>
  </si>
  <si>
    <t>ปรับปรุง</t>
  </si>
  <si>
    <t>หลังปรับปรุง</t>
  </si>
  <si>
    <t>งบแสดงฐานะการเงิน</t>
  </si>
  <si>
    <t>กำไรสะสม</t>
  </si>
  <si>
    <t xml:space="preserve">             ที่แท้จริง (Effective  interest  method)    และบริษัทฯ หยุดรับรู้รายได้ตามเกณฑ์คงค้างเมื่อลูกหนี้ค้างชำระค่างวดเกินกำหนด </t>
  </si>
  <si>
    <t xml:space="preserve">     4.11  เงินลงทุนในบริษัทย่อย </t>
  </si>
  <si>
    <t xml:space="preserve">               ตามกฎหมายแทนบริษัทร่วม</t>
  </si>
  <si>
    <t xml:space="preserve">               ในงบการเงินเฉพาะกิจการบันทึกในราคาทุนสุทธิจากค่าเผื่อการด้อยค่าของเงินลงทุน    ส่วนในงบการเงินรวม ได้แสดงตามวิธี</t>
  </si>
  <si>
    <t xml:space="preserve">               ส่วนร่วมในการตัดสินใจเกี่ยวกับนโยบายทางการเงินและการดำเนินงาน   และไม่ถึงระดับการควบคุม เงินลงทุนในบริษัทร่วม</t>
  </si>
  <si>
    <t xml:space="preserve">               ส่วนได้เสีย    และจะรับรู้ส่วนแบ่งขาดทุนจากบริษัทร่วมเพียงเงินลงทุนเท่ากับศูนย์     เว้นแต่กรณีที่กลุ่มบริษัทมีภาระผูกพัน</t>
  </si>
  <si>
    <t>บุคคลและกิจการที่เกี่ยวข้องกันได้แสดงรายการอยู่ในหมายเหตุประกอบงบการเงินข้อ 8, 10, 11, 12, 13, 14 , 37 และ 39</t>
  </si>
  <si>
    <t>กำไรต่อหุ้นขั้นพื้นฐาน คำนวณโดยการหารยอดกำไร(ขาดทุน)สุทธิสำหรับปี ด้วยจำนวนหุ้นสามัญถัวเฉลี่ยถ่วงน้ำหนักที่</t>
  </si>
  <si>
    <t>กำไรต่อหุ้นปรับลด คำนวณโดยการหารยอดกำไร(ขาดทุน)สุทธิสำหรับปี ด้วยจำนวนหุ้นสามัญถัวเฉลี่ยถ่วงน้ำหนักที่ออก</t>
  </si>
  <si>
    <t>(ปรับปรุงใหม่)</t>
  </si>
  <si>
    <t xml:space="preserve">           (ลงชื่อ)………………………….………......................……………...……………………………………กรรมการตามอำนาจ</t>
  </si>
  <si>
    <t>จำนวน 1 แห่ง  มียอดเงินลงทุน จำนวน 2,699.89 ล้านบาท และ 2,502.41 ล้านบาท  คิดเป็นร้อยละ  7.69  และ  9.96 ของ</t>
  </si>
  <si>
    <t xml:space="preserve">ตรวจสอบแล้ว จำนวน  1 แห่ง  มียอดเงินลงทุนจำนวน  1,029.71 ล้านบาท  และ 995.55 ล้านบาท  คิดเป็นร้อยละ 2.93 และ </t>
  </si>
  <si>
    <t xml:space="preserve">11.45 ของกำไรสุทธิ ตามลำดับ </t>
  </si>
  <si>
    <t xml:space="preserve">ณ วันที่ 31 ธันวาคม 2560  และ 2559  บริษัทฯ บันทึกเงินลงทุน และส่วนได้เสียในบริษัทจำกัด จำนวน 15 แห่ง และ 20 แห่ง </t>
  </si>
  <si>
    <t>และ 143.91 ล้านบาท คิดเป็นร้อยละ 0.16 และ 0.57 ของยอดรวมสินทรัพย์  มีส่วนแบ่งขาดทุน จำนวน 6.39 ล้านบาท และ</t>
  </si>
  <si>
    <t>มาตรฐานการรายงานทางการเงินสำหรับกิจการที่ไม่มีส่วนได้เสียสาธารณะ โดยไม่ได้ปฏิบัติตามนโยบายบัญชีเช่นเดียวกับ</t>
  </si>
  <si>
    <t>นโยบายบัญชีเช่นเดียวกัน ซึ่งฝ่ายบริหารของบริษัทฯไม่มีอำนาจควบคุมสั่งการ</t>
  </si>
  <si>
    <t>บริษัท   และบริษัทร่วมดังกล่าวไม่ให้ข้อมูลเพิ่มเติมแก่บริษัทในการจัดทำงบการเงิน    ให้เสมือนว่าบริษัทดังกล่าวได้ใช้</t>
  </si>
  <si>
    <t xml:space="preserve">        ณ วันที่ 31 ธันวาคม 2560 และ 2559 บริษัทฯ บันทึกเงินลงทุนในบริษัทร่วม จำนวน 22 แห่ง และ 26 แห่ง ดังนี้</t>
  </si>
  <si>
    <t xml:space="preserve">     ค่าเสื่อมราคาสำหรับปี สิ้นสุดวันที่ 31 ธันวาคม 2560 และ 2559 จำนวน 131.43 ล้านบาท และ 127.14 ล้านบาท ตามลำดับ</t>
  </si>
  <si>
    <t xml:space="preserve">    อัตราคิดลด (เปลี่ยนแปลงเพิ่มขึ้นร้อยละ 0.5)</t>
  </si>
  <si>
    <t xml:space="preserve">    อัตราคิดลด (เปลี่ยนแปลงลดลงร้อยละ 0.5)</t>
  </si>
  <si>
    <t>กำไรจากการต่อรองราคาซื้อเงินลงทุน</t>
  </si>
  <si>
    <t>กำไรจากการเปลี่ยนประเภทเงินลงทุนในบริษัทร่วม</t>
  </si>
  <si>
    <t>ค่าเผื่อการด้อยค่าเงินลงทุน</t>
  </si>
  <si>
    <t>ในหลักทรัพย์เผื่อขาย</t>
  </si>
  <si>
    <t xml:space="preserve">    อัตราหมุนเวียนพนักงาน (เปลี่ยนแปลงเพิ่มขึ้นร้อยละ 10 - 20)</t>
  </si>
  <si>
    <t xml:space="preserve">    อัตราหมุนเวียนพนักงาน (เปลี่ยนแปลงลดลงร้อยละ 10- 20)</t>
  </si>
  <si>
    <t xml:space="preserve">    อัตรามรณะ (เปลี่ยนแปลงเพิ่มขึ้นร้อยละ 0.5 - 20)</t>
  </si>
  <si>
    <t xml:space="preserve">    อัตรามรณะ (เปลี่ยนแปลงลดลงร้อยละ 0.5 - 20)</t>
  </si>
  <si>
    <t xml:space="preserve">        38.1  ข้อมูลทางการเงินจำแนกตามส่วนงาน ในงบการเงินรวม สำหรับปี สิ้นสุดวันที่ 31 ธันวาคม 2560  และงบการเงินที่แสดงเงินลงทุนตามวิธีส่วนได้เสีย สำหรับปี  สิ้นสุดวันที่</t>
  </si>
  <si>
    <t xml:space="preserve">        31 ธันวาคม  2559  ดังนี้</t>
  </si>
  <si>
    <t xml:space="preserve">      ขออนุมัติต่อที่ประชุมผู้ถือหุ้นจ่ายเงินปันผลให้แก่ผู้ถือหุ้น   ในอัตราหุ้นละ 0.55 บาท   จำนวน 494,034,300 หุ้น  จำนวนเงิน</t>
  </si>
  <si>
    <t xml:space="preserve">      รวม 271,718,865.00 บาท</t>
  </si>
  <si>
    <t>ในปี 2560 บริษัทร่วมมีการปรับปรุงงบการเงินย้อนหลัง  ซึ่งมีผลกระทบต่องบการเงินของบริษัท ดังนี้</t>
  </si>
  <si>
    <t>กำไร(ขาดทุน)เบ็ดเสร็จอื่นสำหรับปี- สุทธิจากภาษี</t>
  </si>
  <si>
    <t>เงินลงทุนในบริษัทร่วม - บันทึกโดยวิธีส่วนได้เสีย</t>
  </si>
  <si>
    <t>องค์ประกอบอื่นของส่วนของผู้ถือหุ้น</t>
  </si>
  <si>
    <t>กำไรสำหรับปี</t>
  </si>
  <si>
    <t xml:space="preserve"> ณ วันที่ 1 มกราคม 2559</t>
  </si>
  <si>
    <t>- 66 -</t>
  </si>
  <si>
    <t>43.  การแก้ไขข้อผิดพลาด (ต่อ)</t>
  </si>
  <si>
    <t>1.65% - 1.75%</t>
  </si>
  <si>
    <t>และตามสัญญาที่ตกลงกัน</t>
  </si>
  <si>
    <t>อัตราคงที่ตามตั๋วสัญญาใช้เงิน</t>
  </si>
  <si>
    <t>โดยผู้สอบบัญชีสำนักงานอื่น จำนวน 5 แห่ง และ 4 แห่ง มียอดเงินลงทุน จำนวน 18,777.53 ล้านบาท และ 9,028.18 ล้านบาท</t>
  </si>
  <si>
    <t xml:space="preserve">คิดเป็นร้อยละ 33.98 และ 47.18  ของกำไรสุทธิของแต่ละปี ตามลำดับ </t>
  </si>
  <si>
    <t xml:space="preserve">คิดเป็นร้อยละ 53.45 และ 35.93 ของยอดรวมสินทรัพย์  มีส่วนแบ่งกำไร จำนวน 1,077.20 ล้านบาท และ 800.92   ล้านบาท  </t>
  </si>
  <si>
    <t xml:space="preserve">                     จำนวน 89 ราย เป็นจำนวนเงินทั้งสิ้น 219,155,460.57 บาท และ 212,815,614.91 บาท ตามลำดับ ( ณ วันที่ 31 ธันวาคม 2559 จำนวน 87 ราย เป็นจำนวนเงิน</t>
  </si>
  <si>
    <t xml:space="preserve">                     ทั้งสิ้น 172,457,582.50 บาท) มีรายละเอียด ดังนี้</t>
  </si>
  <si>
    <t xml:space="preserve">                     ทั้งสิ้น 163,090,204.96 บาท)  มีรายละเอียด ดังนี้</t>
  </si>
  <si>
    <t xml:space="preserve">                     จำนวน 95 ราย เป็นจำนวนเงินทั้งสิ้น 188,644,607.52 บาท และ 188,536,353.08 บาท ตามลำดับ ( ณ วันที่ 31 ธันวาคม 2559  จำนวน 15 ราย เป็นจำนวนเงิน</t>
  </si>
  <si>
    <t xml:space="preserve">                     จำนวน 54 ราย  เป็นจำนวนเงินทั้งสิ้น 161,213,302.54 บาท   (ณ วันที่ 31 ธันวาคม 2559  จำนวน 48 ราย เป็นจำนวนเงินทั้งสิ้น 56,750,796.96 บาท )</t>
  </si>
  <si>
    <t xml:space="preserve">ในปี 2560  บริษัทฯ  มีรายได้จากกิจการจากกิจการและบุคคลที่เกี่ยวข้องกันตามงบการเงินรวม และงบการเงินเฉพาะกิจการ  จำนวน 155 ราย </t>
  </si>
  <si>
    <t xml:space="preserve">                     2,459,636,210.57 บาท  และ  2,968,951,810.87 บาท ตามลำดับ)  มีรายละเอียด ดังนี้</t>
  </si>
  <si>
    <t xml:space="preserve">                     เป็นจำนวนเงินทั้งสิ้น 191,174,250.07 บาท ( ในปี 2559 จำนวน 3 ราย เป็นจำนวนเงินทั้งสิ้น 81,170,611.97 บาท ) มีรายละเอียด ดังนี้</t>
  </si>
  <si>
    <t xml:space="preserve">ในปี 2560 บริษัทฯ มีค่าใช้จ่ายอื่นจากกิจการและบุคคลที่เกี่ยวข้องกันตามงบการเงินรวม และงบการเงินเฉพาะกิจการ จำนวน 104 ราย เป็นจำนวนเงิน   </t>
  </si>
  <si>
    <t>บรัท วัตสตรมัย จำกัด</t>
  </si>
  <si>
    <t>บริษัท ไอ. ดี. เอฟ. จำกัด</t>
  </si>
  <si>
    <t xml:space="preserve">                     ทั้งสิ้น 434,579.44 บาท (ในปี 2559 จำนวน 1 ราย เป็นจำนวนเงินทั้งสิ้น 1,400,000.00 บาท)  มีรายละเอียด ดังนี้</t>
  </si>
  <si>
    <t xml:space="preserve"> ณ วันที่ 31 ธันวาคม 2560 บริษัทฯ มีลูกหนี้ตามสัญญาเช่าซื้อจากกิจการที่เกี่ยวข้องกัน จำนวน 16 ราย เป็นจำนวนเงินทั้งสิ้น 82,814,641.59  บาท</t>
  </si>
  <si>
    <t xml:space="preserve">จากงบการเงินที่ผ่านการตรวจสอบแล้วโดยผู้สอบบัญชีสำนักงานอื่น จำนวน 14 แห่ง และ 16 แห่ง มียอดเงินลงทุน จำนวน </t>
  </si>
  <si>
    <t>และ 13.25  ล้านบาท คิดเป็นร้อยละ 0.20 และ 0.78  ของกำไรสุทธิของแต่ละปี  ตามลำดับ</t>
  </si>
  <si>
    <t>ลูกหนี้หมุนเวียนอื่น</t>
  </si>
  <si>
    <t xml:space="preserve">    ลูกหนี้การค้าและลูกหนี้หมุนเวียนอื่นกิจการที่เกี่ยวข้องกัน</t>
  </si>
  <si>
    <t>10.1 ลูกหนี้ตามสัญญาเช่าซื้อ-กิจการที่เกี่ยวข้องกัน มีดังนี้</t>
  </si>
  <si>
    <t xml:space="preserve">ณ วันที่ 31 ธันวาคม 2560 มีลูกหนี้ตามสัญญาเช่าซื้อ-กิจการที่เกี่ยวข้องกันแบ่งตามงวดค้างชำระได้ดังนี้ </t>
  </si>
  <si>
    <t>10.2 ลูกหนี้ตามสัญญาเช่าซื้อ-กิจการอื่น มีดังนี้</t>
  </si>
  <si>
    <t xml:space="preserve">ณ วันที่ 31 ธันวาคม 2560 มีลูกหนี้ตามสัญญาเช่าซื้อ-กิจการอื่น แบ่งตามงวดค้างชำระได้ดังนี้ </t>
  </si>
  <si>
    <t>ยอดรวมสินทรัพย์   มีส่วนแบ่งกำไร  จำนวน 306.84 ล้านบาท และ 272.56 ล้านบาท  คิดเป็นร้อยละ  9.68  และ 16.06</t>
  </si>
  <si>
    <t xml:space="preserve">3.96  ของยอดรวมสินทรัพย์   มีส่วนแบ่งกำไรจำนวน 194.30  ล้านบาท   และ 194.45 ล้านบาท  คิดเป็นร้อยละ 6.13  และ </t>
  </si>
  <si>
    <t xml:space="preserve">2,639.63 ล้านบาท  และ 2,468.41 ล้านบาท คิดเป็นร้อยละ 7.51  และ 9.83  ของยอดรวมสินทรัพย์   มีส่วนแบ่งกำไรจำนวน </t>
  </si>
  <si>
    <t>243.88 ล้านบาท และ 161.98  ล้านบาท คิดเป็นร้อยละ 7.70 และ 9.54 ของกำไรสุทธิของแต่ละปี  และบันทึกจากงบการเงิน</t>
  </si>
  <si>
    <t xml:space="preserve">ของผู้บริหารที่ยังไม่ผ่านการตรวจสอบโดยผู้สอบบัญชี  จำนวน 1 แห่ง  และ 4 แห่ง มียอดเงินลงทุน  จำนวน 54.58 ล้านบาท </t>
  </si>
  <si>
    <t>นอกจากนี้บริษัทร่วมจำนวน 13 แห่ง ข้างต้น  (ปี 2559 จำนวน 19 แห่ง)  เป็นกิจการที่ไม่มีส่วนได้เสียสาธารณะดังนั้นจึงใช้</t>
  </si>
  <si>
    <t xml:space="preserve">      1.1 บริษัท  สหพัฒนาอินเตอร์โฮลดิ้ง  จำกัด  (มหาชน)  ("บริษัทฯ")    เป็นบริษัทมหาชนที่จดทะเบียนจัดตั้งบริษัท   เมื่อวันที่ </t>
  </si>
  <si>
    <t xml:space="preserve">           9 พฤษภาคม 2537 ทะเบียนนิติบุคคล เลขที่ 0107537001340 และมีภูมิลำเนาในประเทศไทย ตามที่อยู่ที่ได้จดทะเบียน ไว้ดังนี้</t>
  </si>
  <si>
    <t>เงินลงทุนในบริษัทย่อย ในงบการเงินเฉพาะกิจการบันทึกในราคาทุนสุทธิจากค่าเผื่อการด้อยค่าของเงินลงทุน (ถ้ามี)</t>
  </si>
  <si>
    <t>ผลขาดทุนสะที่(ใช้)ไม่ใช้ประโยชน์ทางภาษี</t>
  </si>
  <si>
    <t>(ลงชื่อ)………………………………………………………………………………………….กรรมการตามอำนาจ</t>
  </si>
  <si>
    <t xml:space="preserve">สำหรับปี สิ้นสุดวันที่ 31 ธันวาคม 2560 และ 2559 ต้นทุนค่าไฟฟ้าและไอน้ำ จำนวน 1,725.60 ล้านบาท และ 1,711.93 ล้านบาท ตามลำดับ </t>
  </si>
  <si>
    <t xml:space="preserve">                     เป็นจำนวนเงินทั้งสิ้น   2,540,703,377.65 บาท และ   3,323,258,669.55 บาท   ตามลำดับ    (  ในปี 2559    จำนวน 133 ราย  เป็นจำนวนเงินทั้งสิ้น </t>
  </si>
  <si>
    <t xml:space="preserve">                     ทั้งสิ้น 101,023,776.38 บาท (ในปี 2559 จำนวน 26 ราย เป็นจำนวนเงินทั้งสิ้น 74,474,441.78 บาท ) มีรายละเอียด ดังนี้</t>
  </si>
  <si>
    <t xml:space="preserve">    เงินเดือนในอนาคต (เปลี่ยนแปลงเพิ่มขึ้นร้อยละ 0.5 - 1.0)</t>
  </si>
  <si>
    <t xml:space="preserve">    เงินเดือนในอนาคต (เปลี่ยนแปลงลดลงร้อยละ 0.5 - 1.0)</t>
  </si>
  <si>
    <t xml:space="preserve">                     จำนวน 17 ราย เป็นจำนวนเงินทั้งสิ้น 1,894,829,473.57 บาท ( ในปี 2559 จำนวน 20 ราย เป็นจำนวนเงินทั้งสิ้น 1,879,785,395.93 บาท) มีรายละเอียด ดังนี้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</si>
</sst>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0.00;\(#,##0.00\)"/>
    <numFmt numFmtId="200" formatCode="#,##0_);[Red]\(#,##0.00\)"/>
    <numFmt numFmtId="201" formatCode="#,##0.00_);[Black]\(#,##0.00\)\ "/>
    <numFmt numFmtId="202" formatCode="#,##0.00_);[Red]\(#,##0.0000\)"/>
    <numFmt numFmtId="203" formatCode="###0.00_);[Red]\(###0.00\)"/>
    <numFmt numFmtId="204" formatCode="#,##0.00\ ;[Red]\(#,##0.00\)"/>
    <numFmt numFmtId="205" formatCode="#,##0\ ;[Red]\(#,##0\)"/>
    <numFmt numFmtId="206" formatCode="#,##0.00\ ;\(#,##0.00\)"/>
    <numFmt numFmtId="207" formatCode="##,##0.00_);\(#,##0.00\)"/>
    <numFmt numFmtId="208" formatCode="#,##0_);\(#,###\)"/>
    <numFmt numFmtId="209" formatCode="##,##0_);\(#,##0\)"/>
    <numFmt numFmtId="210" formatCode="#,##0.00_);[Blue]\(#,##0.00\)"/>
    <numFmt numFmtId="211" formatCode="[$-101041E]d\ mmmm\ yyyy;@"/>
    <numFmt numFmtId="212" formatCode="#,##0.00_);[Blue]\(#,##0.0000\)"/>
    <numFmt numFmtId="213" formatCode="#,##0.00;[Red]#,##0.00"/>
    <numFmt numFmtId="214" formatCode="#,##0;\(#,##0.00\)"/>
    <numFmt numFmtId="215" formatCode="#,##0.00_);[Black]\(#,##0.00\)"/>
    <numFmt numFmtId="216" formatCode="#,##0.00_)"/>
    <numFmt numFmtId="217" formatCode="_-* #,##0.00_-;\-* #,##0.00_-;_-* \-??_-;_-@_-"/>
    <numFmt numFmtId="218" formatCode="##,##0.00_)\ ;\(#,##0.00\)"/>
    <numFmt numFmtId="219" formatCode="_-* #,##0.00_-;\(#,##0.00\);_-* \-??_-;_-@_-"/>
    <numFmt numFmtId="220" formatCode="_-* #,##0.000_-;\-* #,##0.000_-;_-* &quot;-&quot;??_-;_-@_-"/>
    <numFmt numFmtId="221" formatCode="#,##0.0;\-#,##0.0"/>
    <numFmt numFmtId="222" formatCode="0.000%"/>
    <numFmt numFmtId="223" formatCode="_-* #,##0.00_-;\(#,##0.00\)"/>
    <numFmt numFmtId="224" formatCode="_-* #,##0_-;\-* #,##0_-;_-* &quot;-&quot;??_-;_-@_-"/>
    <numFmt numFmtId="225" formatCode="#,##0.000;\-#,##0.000"/>
    <numFmt numFmtId="226" formatCode="_(* #,##0.00_);_(* \(#,##0.00\)"/>
    <numFmt numFmtId="227" formatCode="_(* #,##0.00_);_(* \(#,##0.00\);_(* \-??_);_(@_)"/>
    <numFmt numFmtId="228" formatCode="#,##0.00%;\(#,##0.00%\)"/>
    <numFmt numFmtId="229" formatCode="_-* #,##0.00_-;\-* #,##0.00_-"/>
    <numFmt numFmtId="230" formatCode="#,##0.00;[Red]\(#,##0.00\)"/>
    <numFmt numFmtId="231" formatCode="#,##0;\(#,##0\)"/>
    <numFmt numFmtId="232" formatCode="_-\฿* #,##0.00_-;&quot;-฿&quot;* #,##0.00_-;_-\฿* \-??_-;_-@_-"/>
    <numFmt numFmtId="233" formatCode="\$#,##0.00;&quot;($&quot;#,##0.00\)"/>
    <numFmt numFmtId="234" formatCode="[$-1070000]d/m/yy;@"/>
    <numFmt numFmtId="235" formatCode="\$#,##0;&quot;($&quot;#,##0\)"/>
    <numFmt numFmtId="236" formatCode="General_)"/>
    <numFmt numFmtId="237" formatCode="##\-#"/>
    <numFmt numFmtId="238" formatCode="#,##0.0000;\(#,##0.0000\)"/>
    <numFmt numFmtId="239" formatCode="_ * #,##0_ ;_ * \-#,##0_ ;_ * \-_ ;_ @_ "/>
    <numFmt numFmtId="240" formatCode="_ * #,##0.00_ ;_ * \-#,##0.00_ ;_ * \-??_ ;_ @_ "/>
    <numFmt numFmtId="241" formatCode="_ \\* #,##0_ ;_ \\* \-#,##0_ ;_ \\* \-_ ;_ @_ "/>
    <numFmt numFmtId="242" formatCode="_ \\* #,##0.00_ ;_ \\* \-#,##0.00_ ;_ \\* \-??_ ;_ @_ "/>
    <numFmt numFmtId="243" formatCode="#,##0.00\ ;\(#,##0.00\)\ "/>
    <numFmt numFmtId="244" formatCode="#,##0.0000000_);\(#,##0.0000000\)"/>
    <numFmt numFmtId="245" formatCode="_-* #,##0.00_-;\(#,##0.00\);_-* &quot;-&quot;??_-;_-@_-"/>
    <numFmt numFmtId="246" formatCode="#,##0.00000000_);[Red]\(#,##0.00000000\)"/>
    <numFmt numFmtId="247" formatCode="_-* #,##0.00_-;\(#,##0.00\);0.00_-"/>
    <numFmt numFmtId="248" formatCode="&quot;- &quot;0&quot; -&quot;"/>
    <numFmt numFmtId="249" formatCode="#,##0.00_-;\(#,##0.00\);0.00_-"/>
    <numFmt numFmtId="250" formatCode="#,##0.00_);[Black]\(##,#00.00\)"/>
  </numFmts>
  <fonts count="106">
    <font>
      <sz val="14"/>
      <name val="Cordia New"/>
      <family val="0"/>
    </font>
    <font>
      <sz val="12"/>
      <name val="Helv"/>
      <family val="0"/>
    </font>
    <font>
      <sz val="16"/>
      <name val="AngsanaUPC"/>
      <family val="1"/>
    </font>
    <font>
      <b/>
      <sz val="16"/>
      <name val="AngsanaUPC"/>
      <family val="1"/>
    </font>
    <font>
      <sz val="16"/>
      <name val="Cordia New"/>
      <family val="2"/>
    </font>
    <font>
      <sz val="14"/>
      <name val="AngsanaUPC"/>
      <family val="1"/>
    </font>
    <font>
      <sz val="12"/>
      <name val="AngsanaUPC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sz val="16"/>
      <color indexed="8"/>
      <name val="AngsanaUPC"/>
      <family val="1"/>
    </font>
    <font>
      <sz val="14"/>
      <name val="BrowalliaUPC"/>
      <family val="2"/>
    </font>
    <font>
      <sz val="15"/>
      <name val="AngsanaUPC"/>
      <family val="1"/>
    </font>
    <font>
      <b/>
      <sz val="15"/>
      <name val="AngsanaUPC"/>
      <family val="1"/>
    </font>
    <font>
      <sz val="16"/>
      <color indexed="8"/>
      <name val="Angsana New"/>
      <family val="1"/>
    </font>
    <font>
      <sz val="8"/>
      <name val="Cordia New"/>
      <family val="2"/>
    </font>
    <font>
      <b/>
      <sz val="16"/>
      <color indexed="8"/>
      <name val="Angsana New"/>
      <family val="1"/>
    </font>
    <font>
      <sz val="15"/>
      <color indexed="8"/>
      <name val="Angsana New"/>
      <family val="1"/>
    </font>
    <font>
      <sz val="12"/>
      <color indexed="8"/>
      <name val="AngsanaUPC"/>
      <family val="1"/>
    </font>
    <font>
      <b/>
      <sz val="12"/>
      <color indexed="8"/>
      <name val="AngsanaUPC"/>
      <family val="1"/>
    </font>
    <font>
      <b/>
      <sz val="16"/>
      <color indexed="8"/>
      <name val="AngsanaUPC"/>
      <family val="1"/>
    </font>
    <font>
      <sz val="15"/>
      <name val="Angsana New"/>
      <family val="1"/>
    </font>
    <font>
      <sz val="11"/>
      <color indexed="8"/>
      <name val="Tahoma"/>
      <family val="2"/>
    </font>
    <font>
      <u val="single"/>
      <sz val="16"/>
      <name val="AngsanaUPC"/>
      <family val="1"/>
    </font>
    <font>
      <b/>
      <sz val="15"/>
      <name val="Angsana New"/>
      <family val="1"/>
    </font>
    <font>
      <b/>
      <sz val="15"/>
      <color indexed="8"/>
      <name val="Angsana New"/>
      <family val="1"/>
    </font>
    <font>
      <u val="single"/>
      <sz val="16"/>
      <name val="Angsana New"/>
      <family val="1"/>
    </font>
    <font>
      <sz val="12"/>
      <name val="Arial"/>
      <family val="2"/>
    </font>
    <font>
      <sz val="10"/>
      <name val="Courier"/>
      <family val="3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4"/>
      <name val="Angsana New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5"/>
      <color indexed="62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7"/>
      <name val="Small Fonts"/>
      <family val="2"/>
    </font>
    <font>
      <b/>
      <i/>
      <sz val="16"/>
      <name val="Arial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0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นูลมรผ"/>
      <family val="0"/>
    </font>
    <font>
      <b/>
      <sz val="16"/>
      <name val="Cordia New"/>
      <family val="2"/>
    </font>
    <font>
      <b/>
      <sz val="12"/>
      <name val="AngsanaUPC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2"/>
      <color indexed="8"/>
      <name val="Angsana New"/>
      <family val="1"/>
    </font>
    <font>
      <sz val="11"/>
      <color indexed="14"/>
      <name val="Tahoma"/>
      <family val="2"/>
    </font>
    <font>
      <b/>
      <sz val="13"/>
      <color indexed="62"/>
      <name val="Tahoma"/>
      <family val="2"/>
    </font>
    <font>
      <b/>
      <u val="single"/>
      <sz val="16"/>
      <color indexed="8"/>
      <name val="Angsana New"/>
      <family val="1"/>
    </font>
    <font>
      <b/>
      <sz val="14"/>
      <color indexed="12"/>
      <name val="Angsana New"/>
      <family val="1"/>
    </font>
    <font>
      <sz val="11"/>
      <color theme="1"/>
      <name val="Tahoma"/>
      <family val="2"/>
    </font>
    <font>
      <sz val="11"/>
      <color theme="1"/>
      <name val="Calibri"/>
      <family val="2"/>
    </font>
    <font>
      <sz val="11"/>
      <color theme="0"/>
      <name val="Tahoma"/>
      <family val="2"/>
    </font>
    <font>
      <sz val="11"/>
      <color theme="0"/>
      <name val="Calibri"/>
      <family val="2"/>
    </font>
    <font>
      <sz val="11"/>
      <color rgb="FF9C0006"/>
      <name val="Tahoma"/>
      <family val="2"/>
    </font>
    <font>
      <sz val="11"/>
      <color indexed="14"/>
      <name val="Calibri"/>
      <family val="2"/>
    </font>
    <font>
      <b/>
      <sz val="11"/>
      <color rgb="FFFA7D00"/>
      <name val="Tahoma"/>
      <family val="2"/>
    </font>
    <font>
      <b/>
      <sz val="11"/>
      <color rgb="FFFA7D00"/>
      <name val="Calibri"/>
      <family val="2"/>
    </font>
    <font>
      <b/>
      <sz val="11"/>
      <color theme="0"/>
      <name val="Tahoma"/>
      <family val="2"/>
    </font>
    <font>
      <b/>
      <sz val="11"/>
      <color theme="0"/>
      <name val="Calibri"/>
      <family val="2"/>
    </font>
    <font>
      <i/>
      <sz val="11"/>
      <color rgb="FF7F7F7F"/>
      <name val="Tahoma"/>
      <family val="2"/>
    </font>
    <font>
      <i/>
      <sz val="11"/>
      <color rgb="FF7F7F7F"/>
      <name val="Calibri"/>
      <family val="2"/>
    </font>
    <font>
      <sz val="11"/>
      <color rgb="FF006100"/>
      <name val="Tahoma"/>
      <family val="2"/>
    </font>
    <font>
      <sz val="11"/>
      <color rgb="FF006100"/>
      <name val="Calibri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3"/>
      <color indexed="62"/>
      <name val="Calibri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3F3F76"/>
      <name val="Calibri"/>
      <family val="2"/>
    </font>
    <font>
      <sz val="11"/>
      <color rgb="FFFA7D00"/>
      <name val="Tahoma"/>
      <family val="2"/>
    </font>
    <font>
      <sz val="11"/>
      <color rgb="FFFA7D00"/>
      <name val="Calibri"/>
      <family val="2"/>
    </font>
    <font>
      <sz val="11"/>
      <color rgb="FF9C6500"/>
      <name val="Tahoma"/>
      <family val="2"/>
    </font>
    <font>
      <sz val="11"/>
      <color rgb="FF9C6500"/>
      <name val="Calibri"/>
      <family val="2"/>
    </font>
    <font>
      <sz val="14"/>
      <color theme="1"/>
      <name val="Angsana New"/>
      <family val="2"/>
    </font>
    <font>
      <b/>
      <sz val="11"/>
      <color rgb="FF3F3F3F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b/>
      <sz val="11"/>
      <color theme="1"/>
      <name val="Calibri"/>
      <family val="2"/>
    </font>
    <font>
      <sz val="11"/>
      <color rgb="FFFF0000"/>
      <name val="Tahoma"/>
      <family val="2"/>
    </font>
    <font>
      <sz val="11"/>
      <color rgb="FFFF0000"/>
      <name val="Calibri"/>
      <family val="2"/>
    </font>
    <font>
      <sz val="16"/>
      <color rgb="FF0D0D0D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u val="single"/>
      <sz val="16"/>
      <color theme="1"/>
      <name val="Angsana New"/>
      <family val="1"/>
    </font>
    <font>
      <b/>
      <sz val="14"/>
      <color rgb="FF0066FF"/>
      <name val="Angsana New"/>
      <family val="1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70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69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7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69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70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69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70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6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70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69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70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69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70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69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70" fillId="24" borderId="0" applyNumberFormat="0" applyBorder="0" applyAlignment="0" applyProtection="0"/>
    <xf numFmtId="0" fontId="24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69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70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69" fillId="30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70" fillId="23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69" fillId="3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70" fillId="31" borderId="0" applyNumberFormat="0" applyBorder="0" applyAlignment="0" applyProtection="0"/>
    <xf numFmtId="0" fontId="24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69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70" fillId="19" borderId="0" applyNumberFormat="0" applyBorder="0" applyAlignment="0" applyProtection="0"/>
    <xf numFmtId="0" fontId="24" fillId="34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7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72" fillId="3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71" fillId="3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72" fillId="3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71" fillId="4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72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7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72" fillId="43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7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3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72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7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72" fillId="48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37" borderId="0" applyNumberFormat="0" applyBorder="0" applyAlignment="0" applyProtection="0"/>
    <xf numFmtId="0" fontId="31" fillId="26" borderId="0" applyNumberFormat="0" applyBorder="0" applyAlignment="0" applyProtection="0"/>
    <xf numFmtId="0" fontId="31" fillId="29" borderId="0" applyNumberFormat="0" applyBorder="0" applyAlignment="0" applyProtection="0"/>
    <xf numFmtId="0" fontId="31" fillId="43" borderId="0" applyNumberFormat="0" applyBorder="0" applyAlignment="0" applyProtection="0"/>
    <xf numFmtId="0" fontId="31" fillId="38" borderId="0" applyNumberFormat="0" applyBorder="0" applyAlignment="0" applyProtection="0"/>
    <xf numFmtId="0" fontId="31" fillId="48" borderId="0" applyNumberFormat="0" applyBorder="0" applyAlignment="0" applyProtection="0"/>
    <xf numFmtId="0" fontId="7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72" fillId="38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7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72" fillId="55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7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8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72" fillId="55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71" fillId="5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72" fillId="6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71" fillId="61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3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72" fillId="61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71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4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72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73" fillId="6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74" fillId="6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75" fillId="66" borderId="1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33" fillId="23" borderId="2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76" fillId="68" borderId="1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33" fillId="67" borderId="2" applyNumberFormat="0" applyAlignment="0" applyProtection="0"/>
    <xf numFmtId="0" fontId="77" fillId="69" borderId="3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34" fillId="71" borderId="4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78" fillId="69" borderId="3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0" fontId="34" fillId="70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217" fontId="0" fillId="0" borderId="0" applyFill="0" applyBorder="0" applyAlignment="0" applyProtection="0"/>
    <xf numFmtId="231" fontId="0" fillId="0" borderId="0" applyFont="0" applyFill="0" applyBorder="0" applyAlignment="0" applyProtection="0"/>
    <xf numFmtId="227" fontId="5" fillId="0" borderId="0" applyFill="0" applyBorder="0" applyAlignment="0" applyProtection="0"/>
    <xf numFmtId="43" fontId="0" fillId="0" borderId="0" applyFont="0" applyFill="0" applyBorder="0" applyAlignment="0" applyProtection="0"/>
    <xf numFmtId="227" fontId="5" fillId="0" borderId="0" applyFill="0" applyBorder="0" applyAlignment="0" applyProtection="0"/>
    <xf numFmtId="217" fontId="35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7" fontId="35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94" fontId="36" fillId="0" borderId="0" applyFont="0" applyFill="0" applyBorder="0" applyAlignment="0" applyProtection="0"/>
    <xf numFmtId="231" fontId="3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32" fontId="0" fillId="0" borderId="0" applyFill="0" applyBorder="0" applyAlignment="0" applyProtection="0"/>
    <xf numFmtId="232" fontId="0" fillId="0" borderId="0" applyFill="0" applyBorder="0" applyAlignment="0" applyProtection="0"/>
    <xf numFmtId="233" fontId="37" fillId="0" borderId="0">
      <alignment/>
      <protection/>
    </xf>
    <xf numFmtId="0" fontId="5" fillId="0" borderId="0">
      <alignment/>
      <protection/>
    </xf>
    <xf numFmtId="234" fontId="0" fillId="0" borderId="0">
      <alignment/>
      <protection/>
    </xf>
    <xf numFmtId="234" fontId="0" fillId="0" borderId="0">
      <alignment/>
      <protection/>
    </xf>
    <xf numFmtId="0" fontId="5" fillId="0" borderId="0">
      <alignment/>
      <protection/>
    </xf>
    <xf numFmtId="235" fontId="3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7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1" fillId="72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82" fillId="72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40" fillId="73" borderId="0" applyNumberFormat="0" applyBorder="0" applyAlignment="0" applyProtection="0"/>
    <xf numFmtId="0" fontId="40" fillId="67" borderId="0" applyNumberFormat="0" applyBorder="0" applyAlignment="0" applyProtection="0"/>
    <xf numFmtId="0" fontId="41" fillId="0" borderId="5" applyNumberFormat="0" applyAlignment="0" applyProtection="0"/>
    <xf numFmtId="0" fontId="41" fillId="0" borderId="6">
      <alignment horizontal="left" vertical="center"/>
      <protection/>
    </xf>
    <xf numFmtId="0" fontId="83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84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85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86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7" fillId="74" borderId="1" applyNumberFormat="0" applyAlignment="0" applyProtection="0"/>
    <xf numFmtId="0" fontId="40" fillId="73" borderId="0" applyNumberFormat="0" applyBorder="0" applyAlignment="0" applyProtection="0"/>
    <xf numFmtId="0" fontId="40" fillId="75" borderId="0" applyNumberFormat="0" applyBorder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9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88" fillId="74" borderId="1" applyNumberFormat="0" applyAlignment="0" applyProtection="0"/>
    <xf numFmtId="0" fontId="88" fillId="74" borderId="1" applyNumberFormat="0" applyAlignment="0" applyProtection="0"/>
    <xf numFmtId="0" fontId="88" fillId="74" borderId="1" applyNumberFormat="0" applyAlignment="0" applyProtection="0"/>
    <xf numFmtId="0" fontId="88" fillId="74" borderId="1" applyNumberFormat="0" applyAlignment="0" applyProtection="0"/>
    <xf numFmtId="0" fontId="88" fillId="74" borderId="1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89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90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91" fillId="76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8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92" fillId="76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37" fontId="5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0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234" fontId="0" fillId="0" borderId="0">
      <alignment/>
      <protection/>
    </xf>
    <xf numFmtId="234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9" borderId="17" applyNumberFormat="0" applyFon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0" fillId="80" borderId="18" applyNumberFormat="0" applyFont="0" applyAlignment="0" applyProtection="0"/>
    <xf numFmtId="0" fontId="35" fillId="75" borderId="18" applyNumberFormat="0" applyAlignment="0" applyProtection="0"/>
    <xf numFmtId="0" fontId="0" fillId="80" borderId="18" applyNumberFormat="0" applyFon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6" fillId="79" borderId="17" applyNumberFormat="0" applyFont="0" applyAlignment="0" applyProtection="0"/>
    <xf numFmtId="0" fontId="36" fillId="79" borderId="17" applyNumberFormat="0" applyFont="0" applyAlignment="0" applyProtection="0"/>
    <xf numFmtId="0" fontId="0" fillId="80" borderId="18" applyNumberFormat="0" applyFont="0" applyAlignment="0" applyProtection="0"/>
    <xf numFmtId="0" fontId="0" fillId="80" borderId="18" applyNumberFormat="0" applyFont="0" applyAlignment="0" applyProtection="0"/>
    <xf numFmtId="0" fontId="0" fillId="80" borderId="18" applyNumberFormat="0" applyFont="0" applyAlignment="0" applyProtection="0"/>
    <xf numFmtId="0" fontId="0" fillId="80" borderId="18" applyNumberFormat="0" applyFont="0" applyAlignment="0" applyProtection="0"/>
    <xf numFmtId="0" fontId="0" fillId="80" borderId="18" applyNumberFormat="0" applyFont="0" applyAlignment="0" applyProtection="0"/>
    <xf numFmtId="0" fontId="0" fillId="80" borderId="18" applyNumberFormat="0" applyFont="0" applyAlignment="0" applyProtection="0"/>
    <xf numFmtId="0" fontId="0" fillId="80" borderId="18" applyNumberFormat="0" applyFont="0" applyAlignment="0" applyProtection="0"/>
    <xf numFmtId="0" fontId="0" fillId="80" borderId="18" applyNumberFormat="0" applyFont="0" applyAlignment="0" applyProtection="0"/>
    <xf numFmtId="0" fontId="0" fillId="80" borderId="18" applyNumberFormat="0" applyFon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0" fillId="80" borderId="18" applyNumberFormat="0" applyFont="0" applyAlignment="0" applyProtection="0"/>
    <xf numFmtId="0" fontId="0" fillId="80" borderId="18" applyNumberFormat="0" applyFont="0" applyAlignment="0" applyProtection="0"/>
    <xf numFmtId="0" fontId="0" fillId="80" borderId="18" applyNumberFormat="0" applyFon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94" fillId="66" borderId="19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52" fillId="23" borderId="20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95" fillId="68" borderId="19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0" fontId="52" fillId="67" borderId="20" applyNumberFormat="0" applyAlignment="0" applyProtection="0"/>
    <xf numFmtId="9" fontId="0" fillId="0" borderId="0" applyFont="0" applyFill="0" applyBorder="0" applyAlignment="0" applyProtection="0"/>
    <xf numFmtId="10" fontId="0" fillId="0" borderId="0" applyFill="0" applyBorder="0" applyAlignment="0" applyProtection="0"/>
    <xf numFmtId="10" fontId="35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236" fontId="30" fillId="0" borderId="0">
      <alignment/>
      <protection/>
    </xf>
    <xf numFmtId="0" fontId="9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7" fillId="0" borderId="22" applyNumberFormat="0" applyFill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6" fillId="0" borderId="23" applyNumberFormat="0" applyFill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8" fillId="0" borderId="24" applyNumberFormat="0" applyFill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9" fillId="0" borderId="0" applyNumberFormat="0" applyFill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7" fillId="0" borderId="0" applyNumberFormat="0" applyFill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00" fillId="0" borderId="0" applyNumberFormat="0" applyFill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3" fillId="23" borderId="2" applyNumberFormat="0" applyAlignment="0" applyProtection="0"/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27" fontId="0" fillId="0" borderId="0" applyFill="0" applyBorder="0" applyAlignment="0" applyProtection="0"/>
    <xf numFmtId="227" fontId="0" fillId="0" borderId="0" applyFill="0" applyBorder="0" applyAlignment="0" applyProtection="0"/>
    <xf numFmtId="227" fontId="0" fillId="0" borderId="0" applyFill="0" applyBorder="0" applyAlignment="0" applyProtection="0"/>
    <xf numFmtId="227" fontId="0" fillId="0" borderId="0" applyFill="0" applyBorder="0" applyAlignment="0" applyProtection="0"/>
    <xf numFmtId="227" fontId="0" fillId="0" borderId="0" applyFill="0" applyBorder="0" applyAlignment="0" applyProtection="0"/>
    <xf numFmtId="227" fontId="0" fillId="0" borderId="0" applyFill="0" applyBorder="0" applyAlignment="0" applyProtection="0"/>
    <xf numFmtId="227" fontId="0" fillId="0" borderId="0" applyFill="0" applyBorder="0" applyAlignment="0" applyProtection="0"/>
    <xf numFmtId="227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37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27" fontId="0" fillId="0" borderId="0" applyFill="0" applyBorder="0" applyAlignment="0" applyProtection="0"/>
    <xf numFmtId="43" fontId="9" fillId="0" borderId="0" applyFont="0" applyFill="0" applyBorder="0" applyAlignment="0" applyProtection="0"/>
    <xf numFmtId="238" fontId="35" fillId="0" borderId="0" applyFont="0" applyFill="0" applyBorder="0" applyAlignment="0" applyProtection="0"/>
    <xf numFmtId="237" fontId="35" fillId="0" borderId="0" applyFont="0" applyFill="0" applyBorder="0" applyAlignment="0" applyProtection="0"/>
    <xf numFmtId="237" fontId="35" fillId="0" borderId="0" applyFont="0" applyFill="0" applyBorder="0" applyAlignment="0" applyProtection="0"/>
    <xf numFmtId="237" fontId="35" fillId="0" borderId="0" applyFont="0" applyFill="0" applyBorder="0" applyAlignment="0" applyProtection="0"/>
    <xf numFmtId="237" fontId="35" fillId="0" borderId="0" applyFont="0" applyFill="0" applyBorder="0" applyAlignment="0" applyProtection="0"/>
    <xf numFmtId="227" fontId="0" fillId="0" borderId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27" fontId="0" fillId="0" borderId="0" applyFill="0" applyBorder="0" applyAlignment="0" applyProtection="0"/>
    <xf numFmtId="227" fontId="0" fillId="0" borderId="0" applyFill="0" applyBorder="0" applyAlignment="0" applyProtection="0"/>
    <xf numFmtId="227" fontId="0" fillId="0" borderId="0" applyFill="0" applyBorder="0" applyAlignment="0" applyProtection="0"/>
    <xf numFmtId="227" fontId="0" fillId="0" borderId="0" applyFill="0" applyBorder="0" applyAlignment="0" applyProtection="0"/>
    <xf numFmtId="217" fontId="0" fillId="0" borderId="0" applyFill="0" applyBorder="0" applyAlignment="0" applyProtection="0"/>
    <xf numFmtId="217" fontId="0" fillId="0" borderId="0" applyFill="0" applyBorder="0" applyAlignment="0" applyProtection="0"/>
    <xf numFmtId="217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34" fillId="71" borderId="4" applyNumberFormat="0" applyAlignment="0" applyProtection="0"/>
    <xf numFmtId="0" fontId="48" fillId="0" borderId="16" applyNumberFormat="0" applyFill="0" applyAlignment="0" applyProtection="0"/>
    <xf numFmtId="0" fontId="39" fillId="10" borderId="0" applyNumberFormat="0" applyBorder="0" applyAlignment="0" applyProtection="0"/>
    <xf numFmtId="9" fontId="0" fillId="0" borderId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9" fontId="1" fillId="0" borderId="0">
      <alignment/>
      <protection/>
    </xf>
    <xf numFmtId="39" fontId="29" fillId="0" borderId="0">
      <alignment/>
      <protection/>
    </xf>
    <xf numFmtId="39" fontId="30" fillId="0" borderId="0">
      <alignment/>
      <protection/>
    </xf>
    <xf numFmtId="39" fontId="1" fillId="0" borderId="0">
      <alignment/>
      <protection/>
    </xf>
    <xf numFmtId="0" fontId="0" fillId="0" borderId="0">
      <alignment/>
      <protection/>
    </xf>
    <xf numFmtId="0" fontId="47" fillId="19" borderId="2" applyNumberFormat="0" applyAlignment="0" applyProtection="0"/>
    <xf numFmtId="0" fontId="49" fillId="7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6" fillId="0" borderId="23" applyNumberFormat="0" applyFill="0" applyAlignment="0" applyProtection="0"/>
    <xf numFmtId="0" fontId="32" fillId="7" borderId="0" applyNumberFormat="0" applyBorder="0" applyAlignment="0" applyProtection="0"/>
    <xf numFmtId="239" fontId="0" fillId="0" borderId="0" applyFill="0" applyBorder="0" applyAlignment="0" applyProtection="0"/>
    <xf numFmtId="240" fontId="0" fillId="0" borderId="0" applyFill="0" applyBorder="0" applyAlignment="0" applyProtection="0"/>
    <xf numFmtId="241" fontId="0" fillId="0" borderId="0" applyFill="0" applyBorder="0" applyAlignment="0" applyProtection="0"/>
    <xf numFmtId="242" fontId="0" fillId="0" borderId="0" applyFill="0" applyBorder="0" applyAlignment="0" applyProtection="0"/>
    <xf numFmtId="0" fontId="58" fillId="0" borderId="0">
      <alignment/>
      <protection/>
    </xf>
    <xf numFmtId="0" fontId="31" fillId="51" borderId="0" applyNumberFormat="0" applyBorder="0" applyAlignment="0" applyProtection="0"/>
    <xf numFmtId="0" fontId="31" fillId="54" borderId="0" applyNumberFormat="0" applyBorder="0" applyAlignment="0" applyProtection="0"/>
    <xf numFmtId="0" fontId="31" fillId="58" borderId="0" applyNumberFormat="0" applyBorder="0" applyAlignment="0" applyProtection="0"/>
    <xf numFmtId="0" fontId="31" fillId="43" borderId="0" applyNumberFormat="0" applyBorder="0" applyAlignment="0" applyProtection="0"/>
    <xf numFmtId="0" fontId="31" fillId="38" borderId="0" applyNumberFormat="0" applyBorder="0" applyAlignment="0" applyProtection="0"/>
    <xf numFmtId="0" fontId="31" fillId="64" borderId="0" applyNumberFormat="0" applyBorder="0" applyAlignment="0" applyProtection="0"/>
    <xf numFmtId="0" fontId="52" fillId="23" borderId="20" applyNumberFormat="0" applyAlignment="0" applyProtection="0"/>
    <xf numFmtId="0" fontId="0" fillId="75" borderId="18" applyNumberFormat="0" applyAlignment="0" applyProtection="0"/>
    <xf numFmtId="0" fontId="0" fillId="80" borderId="18" applyNumberFormat="0" applyFont="0" applyAlignment="0" applyProtection="0"/>
    <xf numFmtId="0" fontId="42" fillId="0" borderId="8" applyNumberFormat="0" applyFill="0" applyAlignment="0" applyProtection="0"/>
    <xf numFmtId="0" fontId="44" fillId="0" borderId="11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</cellStyleXfs>
  <cellXfs count="1161">
    <xf numFmtId="0" fontId="0" fillId="0" borderId="0" xfId="0" applyAlignment="1">
      <alignment/>
    </xf>
    <xf numFmtId="0" fontId="2" fillId="0" borderId="0" xfId="0" applyFont="1" applyFill="1" applyAlignment="1">
      <alignment/>
    </xf>
    <xf numFmtId="39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 horizontal="center"/>
    </xf>
    <xf numFmtId="0" fontId="2" fillId="0" borderId="0" xfId="0" applyFont="1" applyFill="1" applyAlignment="1" quotePrefix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0" fontId="3" fillId="0" borderId="0" xfId="0" applyNumberFormat="1" applyFont="1" applyFill="1" applyAlignment="1">
      <alignment horizontal="center"/>
    </xf>
    <xf numFmtId="40" fontId="3" fillId="0" borderId="0" xfId="1662" applyNumberFormat="1" applyFont="1" applyFill="1" applyBorder="1" applyAlignment="1">
      <alignment/>
    </xf>
    <xf numFmtId="40" fontId="2" fillId="0" borderId="0" xfId="166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9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 horizontal="centerContinuous"/>
    </xf>
    <xf numFmtId="39" fontId="3" fillId="0" borderId="0" xfId="0" applyNumberFormat="1" applyFont="1" applyFill="1" applyAlignment="1">
      <alignment/>
    </xf>
    <xf numFmtId="39" fontId="6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 horizontal="left"/>
    </xf>
    <xf numFmtId="39" fontId="2" fillId="0" borderId="0" xfId="2587" applyNumberFormat="1" applyFont="1" applyFill="1" applyAlignment="1">
      <alignment/>
      <protection/>
    </xf>
    <xf numFmtId="210" fontId="2" fillId="0" borderId="0" xfId="0" applyNumberFormat="1" applyFont="1" applyFill="1" applyAlignment="1">
      <alignment/>
    </xf>
    <xf numFmtId="207" fontId="11" fillId="0" borderId="0" xfId="2205" applyNumberFormat="1" applyFont="1" applyFill="1" applyBorder="1" applyAlignment="1">
      <alignment horizontal="center" vertical="center"/>
      <protection/>
    </xf>
    <xf numFmtId="207" fontId="10" fillId="0" borderId="0" xfId="2205" applyNumberFormat="1" applyFont="1" applyFill="1" applyBorder="1" applyAlignment="1">
      <alignment horizontal="left" vertical="center"/>
      <protection/>
    </xf>
    <xf numFmtId="207" fontId="10" fillId="0" borderId="0" xfId="2205" applyNumberFormat="1" applyFont="1" applyFill="1" applyAlignment="1">
      <alignment horizontal="left" vertical="center"/>
      <protection/>
    </xf>
    <xf numFmtId="207" fontId="11" fillId="0" borderId="0" xfId="2205" applyNumberFormat="1" applyFont="1" applyFill="1" applyBorder="1" applyAlignment="1">
      <alignment horizontal="left" vertical="center"/>
      <protection/>
    </xf>
    <xf numFmtId="207" fontId="11" fillId="0" borderId="0" xfId="2205" applyNumberFormat="1" applyFont="1" applyFill="1" applyAlignment="1">
      <alignment horizontal="left" vertical="center"/>
      <protection/>
    </xf>
    <xf numFmtId="39" fontId="2" fillId="0" borderId="0" xfId="2587" applyNumberFormat="1" applyFont="1" applyFill="1" applyBorder="1" applyAlignment="1" applyProtection="1">
      <alignment horizontal="left"/>
      <protection/>
    </xf>
    <xf numFmtId="39" fontId="2" fillId="0" borderId="0" xfId="2587" applyNumberFormat="1" applyFont="1" applyFill="1" applyBorder="1" applyAlignment="1" applyProtection="1" quotePrefix="1">
      <alignment horizontal="centerContinuous"/>
      <protection/>
    </xf>
    <xf numFmtId="39" fontId="3" fillId="0" borderId="0" xfId="2587" applyNumberFormat="1" applyFont="1" applyFill="1" applyBorder="1" applyAlignment="1" applyProtection="1" quotePrefix="1">
      <alignment horizontal="centerContinuous"/>
      <protection/>
    </xf>
    <xf numFmtId="39" fontId="2" fillId="0" borderId="0" xfId="2587" applyNumberFormat="1" applyFont="1" applyFill="1" applyBorder="1" applyAlignment="1" applyProtection="1">
      <alignment/>
      <protection/>
    </xf>
    <xf numFmtId="39" fontId="2" fillId="0" borderId="0" xfId="2587" applyNumberFormat="1" applyFont="1" applyFill="1" applyBorder="1" applyAlignment="1" applyProtection="1" quotePrefix="1">
      <alignment/>
      <protection/>
    </xf>
    <xf numFmtId="39" fontId="2" fillId="0" borderId="0" xfId="2089" applyNumberFormat="1" applyFont="1" applyFill="1">
      <alignment/>
      <protection/>
    </xf>
    <xf numFmtId="39" fontId="3" fillId="0" borderId="0" xfId="0" applyNumberFormat="1" applyFont="1" applyFill="1" applyAlignment="1">
      <alignment/>
    </xf>
    <xf numFmtId="39" fontId="4" fillId="0" borderId="0" xfId="0" applyNumberFormat="1" applyFont="1" applyFill="1" applyAlignment="1">
      <alignment/>
    </xf>
    <xf numFmtId="43" fontId="2" fillId="0" borderId="0" xfId="1662" applyFont="1" applyFill="1" applyBorder="1" applyAlignment="1">
      <alignment/>
    </xf>
    <xf numFmtId="203" fontId="2" fillId="0" borderId="0" xfId="0" applyNumberFormat="1" applyFont="1" applyFill="1" applyAlignment="1">
      <alignment horizontal="left"/>
    </xf>
    <xf numFmtId="203" fontId="2" fillId="0" borderId="0" xfId="0" applyNumberFormat="1" applyFont="1" applyFill="1" applyAlignment="1">
      <alignment/>
    </xf>
    <xf numFmtId="210" fontId="3" fillId="0" borderId="0" xfId="0" applyNumberFormat="1" applyFont="1" applyFill="1" applyAlignment="1">
      <alignment/>
    </xf>
    <xf numFmtId="210" fontId="2" fillId="0" borderId="0" xfId="2587" applyNumberFormat="1" applyFont="1" applyFill="1" applyAlignment="1" applyProtection="1">
      <alignment/>
      <protection/>
    </xf>
    <xf numFmtId="39" fontId="10" fillId="0" borderId="0" xfId="0" applyNumberFormat="1" applyFont="1" applyFill="1" applyAlignment="1">
      <alignment/>
    </xf>
    <xf numFmtId="210" fontId="10" fillId="0" borderId="0" xfId="0" applyNumberFormat="1" applyFont="1" applyFill="1" applyAlignment="1">
      <alignment/>
    </xf>
    <xf numFmtId="39" fontId="3" fillId="0" borderId="0" xfId="0" applyNumberFormat="1" applyFont="1" applyFill="1" applyAlignment="1">
      <alignment horizontal="right"/>
    </xf>
    <xf numFmtId="39" fontId="2" fillId="0" borderId="0" xfId="2587" applyNumberFormat="1" applyFont="1" applyFill="1" applyBorder="1" applyAlignment="1" applyProtection="1" quotePrefix="1">
      <alignment horizontal="center"/>
      <protection/>
    </xf>
    <xf numFmtId="39" fontId="3" fillId="0" borderId="25" xfId="2587" applyNumberFormat="1" applyFont="1" applyFill="1" applyBorder="1" applyAlignment="1" applyProtection="1">
      <alignment horizontal="center"/>
      <protection/>
    </xf>
    <xf numFmtId="39" fontId="3" fillId="0" borderId="0" xfId="2587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Alignment="1">
      <alignment horizontal="center"/>
    </xf>
    <xf numFmtId="39" fontId="2" fillId="0" borderId="0" xfId="2587" applyNumberFormat="1" applyFont="1" applyFill="1" applyBorder="1" applyAlignment="1" applyProtection="1">
      <alignment horizontal="center"/>
      <protection/>
    </xf>
    <xf numFmtId="39" fontId="10" fillId="0" borderId="0" xfId="2587" applyNumberFormat="1" applyFont="1" applyFill="1" applyAlignment="1" applyProtection="1">
      <alignment/>
      <protection/>
    </xf>
    <xf numFmtId="39" fontId="10" fillId="0" borderId="0" xfId="2587" applyNumberFormat="1" applyFont="1" applyFill="1">
      <alignment/>
      <protection/>
    </xf>
    <xf numFmtId="39" fontId="11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2" fillId="0" borderId="0" xfId="2089" applyFont="1" applyFill="1">
      <alignment/>
      <protection/>
    </xf>
    <xf numFmtId="39" fontId="6" fillId="0" borderId="0" xfId="0" applyNumberFormat="1" applyFont="1" applyFill="1" applyAlignment="1">
      <alignment horizontal="centerContinuous"/>
    </xf>
    <xf numFmtId="39" fontId="2" fillId="0" borderId="0" xfId="2587" applyNumberFormat="1" applyFont="1" applyFill="1" applyBorder="1" applyAlignment="1" applyProtection="1">
      <alignment horizontal="centerContinuous"/>
      <protection/>
    </xf>
    <xf numFmtId="210" fontId="10" fillId="0" borderId="0" xfId="2587" applyNumberFormat="1" applyFont="1" applyFill="1" applyAlignment="1" applyProtection="1">
      <alignment/>
      <protection/>
    </xf>
    <xf numFmtId="40" fontId="10" fillId="0" borderId="0" xfId="2089" applyNumberFormat="1" applyFont="1" applyFill="1" applyAlignment="1" quotePrefix="1">
      <alignment horizontal="left" vertical="center"/>
      <protection/>
    </xf>
    <xf numFmtId="39" fontId="10" fillId="0" borderId="0" xfId="0" applyNumberFormat="1" applyFont="1" applyFill="1" applyAlignment="1">
      <alignment horizontal="centerContinuous"/>
    </xf>
    <xf numFmtId="39" fontId="11" fillId="0" borderId="0" xfId="0" applyNumberFormat="1" applyFont="1" applyFill="1" applyAlignment="1">
      <alignment/>
    </xf>
    <xf numFmtId="39" fontId="10" fillId="0" borderId="0" xfId="0" applyNumberFormat="1" applyFont="1" applyFill="1" applyAlignment="1">
      <alignment/>
    </xf>
    <xf numFmtId="39" fontId="11" fillId="0" borderId="0" xfId="2587" applyNumberFormat="1" applyFont="1" applyFill="1">
      <alignment/>
      <protection/>
    </xf>
    <xf numFmtId="39" fontId="11" fillId="0" borderId="0" xfId="0" applyNumberFormat="1" applyFont="1" applyFill="1" applyAlignment="1" quotePrefix="1">
      <alignment horizontal="center"/>
    </xf>
    <xf numFmtId="0" fontId="0" fillId="0" borderId="0" xfId="0" applyFill="1" applyAlignment="1">
      <alignment/>
    </xf>
    <xf numFmtId="0" fontId="11" fillId="0" borderId="0" xfId="2087" applyFont="1" applyFill="1" applyBorder="1" applyAlignment="1">
      <alignment horizontal="center"/>
      <protection/>
    </xf>
    <xf numFmtId="203" fontId="2" fillId="0" borderId="0" xfId="0" applyNumberFormat="1" applyFont="1" applyFill="1" applyAlignment="1" quotePrefix="1">
      <alignment horizontal="center"/>
    </xf>
    <xf numFmtId="203" fontId="3" fillId="0" borderId="0" xfId="0" applyNumberFormat="1" applyFont="1" applyFill="1" applyAlignment="1">
      <alignment horizontal="left"/>
    </xf>
    <xf numFmtId="203" fontId="2" fillId="0" borderId="0" xfId="0" applyNumberFormat="1" applyFont="1" applyFill="1" applyAlignment="1">
      <alignment/>
    </xf>
    <xf numFmtId="0" fontId="11" fillId="0" borderId="0" xfId="2087" applyFont="1" applyFill="1" applyAlignment="1">
      <alignment/>
      <protection/>
    </xf>
    <xf numFmtId="0" fontId="10" fillId="0" borderId="0" xfId="2087" applyFont="1" applyFill="1" applyAlignment="1">
      <alignment/>
      <protection/>
    </xf>
    <xf numFmtId="39" fontId="10" fillId="0" borderId="0" xfId="2087" applyNumberFormat="1" applyFont="1" applyFill="1" applyAlignment="1">
      <alignment/>
      <protection/>
    </xf>
    <xf numFmtId="207" fontId="2" fillId="0" borderId="0" xfId="2587" applyNumberFormat="1" applyFont="1" applyFill="1" applyBorder="1" applyAlignment="1" applyProtection="1">
      <alignment/>
      <protection/>
    </xf>
    <xf numFmtId="207" fontId="3" fillId="0" borderId="0" xfId="2587" applyNumberFormat="1" applyFont="1" applyFill="1" applyBorder="1" applyAlignment="1" applyProtection="1" quotePrefix="1">
      <alignment/>
      <protection/>
    </xf>
    <xf numFmtId="207" fontId="2" fillId="0" borderId="0" xfId="2587" applyNumberFormat="1" applyFont="1" applyFill="1" applyBorder="1" applyAlignment="1" applyProtection="1" quotePrefix="1">
      <alignment/>
      <protection/>
    </xf>
    <xf numFmtId="207" fontId="2" fillId="0" borderId="25" xfId="2587" applyNumberFormat="1" applyFont="1" applyFill="1" applyBorder="1" applyAlignment="1" applyProtection="1" quotePrefix="1">
      <alignment/>
      <protection/>
    </xf>
    <xf numFmtId="207" fontId="2" fillId="0" borderId="26" xfId="2587" applyNumberFormat="1" applyFont="1" applyFill="1" applyBorder="1" applyAlignment="1" applyProtection="1" quotePrefix="1">
      <alignment/>
      <protection/>
    </xf>
    <xf numFmtId="218" fontId="2" fillId="0" borderId="0" xfId="0" applyNumberFormat="1" applyFont="1" applyFill="1" applyBorder="1" applyAlignment="1">
      <alignment/>
    </xf>
    <xf numFmtId="218" fontId="10" fillId="0" borderId="0" xfId="2087" applyNumberFormat="1" applyFont="1" applyFill="1" applyBorder="1" applyAlignment="1">
      <alignment/>
      <protection/>
    </xf>
    <xf numFmtId="219" fontId="2" fillId="0" borderId="0" xfId="1605" applyNumberFormat="1" applyFont="1" applyFill="1" applyAlignment="1">
      <alignment/>
    </xf>
    <xf numFmtId="39" fontId="10" fillId="0" borderId="0" xfId="0" applyNumberFormat="1" applyFont="1" applyFill="1" applyAlignment="1" quotePrefix="1">
      <alignment horizontal="centerContinuous"/>
    </xf>
    <xf numFmtId="0" fontId="2" fillId="0" borderId="0" xfId="0" applyFont="1" applyFill="1" applyAlignment="1" quotePrefix="1">
      <alignment/>
    </xf>
    <xf numFmtId="221" fontId="10" fillId="0" borderId="0" xfId="0" applyNumberFormat="1" applyFont="1" applyFill="1" applyAlignment="1" quotePrefix="1">
      <alignment horizontal="left"/>
    </xf>
    <xf numFmtId="211" fontId="11" fillId="0" borderId="0" xfId="2205" applyNumberFormat="1" applyFont="1" applyFill="1" applyBorder="1" applyAlignment="1" quotePrefix="1">
      <alignment horizontal="center"/>
      <protection/>
    </xf>
    <xf numFmtId="39" fontId="10" fillId="0" borderId="0" xfId="1610" applyNumberFormat="1" applyFont="1" applyFill="1" applyAlignment="1">
      <alignment/>
    </xf>
    <xf numFmtId="210" fontId="2" fillId="0" borderId="0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43" fontId="2" fillId="0" borderId="0" xfId="1620" applyFont="1" applyFill="1" applyBorder="1" applyAlignment="1">
      <alignment horizontal="center"/>
    </xf>
    <xf numFmtId="40" fontId="10" fillId="0" borderId="0" xfId="2089" applyNumberFormat="1" applyFont="1" applyFill="1" applyAlignment="1" quotePrefix="1">
      <alignment horizontal="center" vertical="center"/>
      <protection/>
    </xf>
    <xf numFmtId="210" fontId="2" fillId="0" borderId="0" xfId="0" applyNumberFormat="1" applyFont="1" applyFill="1" applyAlignment="1">
      <alignment/>
    </xf>
    <xf numFmtId="40" fontId="11" fillId="0" borderId="0" xfId="2089" applyNumberFormat="1" applyFont="1" applyFill="1" applyAlignment="1" quotePrefix="1">
      <alignment horizontal="left" vertical="center"/>
      <protection/>
    </xf>
    <xf numFmtId="210" fontId="3" fillId="0" borderId="0" xfId="2587" applyNumberFormat="1" applyFont="1" applyFill="1" applyAlignment="1" applyProtection="1">
      <alignment/>
      <protection/>
    </xf>
    <xf numFmtId="210" fontId="2" fillId="0" borderId="0" xfId="2587" applyNumberFormat="1" applyFont="1" applyFill="1">
      <alignment/>
      <protection/>
    </xf>
    <xf numFmtId="210" fontId="2" fillId="0" borderId="0" xfId="1605" applyNumberFormat="1" applyFont="1" applyFill="1" applyAlignment="1">
      <alignment/>
    </xf>
    <xf numFmtId="210" fontId="2" fillId="0" borderId="0" xfId="2587" applyNumberFormat="1" applyFont="1" applyFill="1" applyAlignment="1">
      <alignment/>
      <protection/>
    </xf>
    <xf numFmtId="210" fontId="2" fillId="0" borderId="0" xfId="2587" applyNumberFormat="1" applyFont="1" applyFill="1" applyAlignment="1" applyProtection="1">
      <alignment horizontal="left"/>
      <protection/>
    </xf>
    <xf numFmtId="210" fontId="2" fillId="0" borderId="0" xfId="1605" applyNumberFormat="1" applyFont="1" applyFill="1" applyAlignment="1">
      <alignment horizontal="right"/>
    </xf>
    <xf numFmtId="210" fontId="2" fillId="0" borderId="0" xfId="2587" applyNumberFormat="1" applyFont="1" applyFill="1" applyAlignment="1" quotePrefix="1">
      <alignment/>
      <protection/>
    </xf>
    <xf numFmtId="210" fontId="2" fillId="0" borderId="0" xfId="2587" applyNumberFormat="1" applyFont="1" applyFill="1" applyAlignment="1">
      <alignment horizontal="center"/>
      <protection/>
    </xf>
    <xf numFmtId="210" fontId="2" fillId="0" borderId="0" xfId="0" applyNumberFormat="1" applyFont="1" applyFill="1" applyAlignment="1">
      <alignment horizontal="left"/>
    </xf>
    <xf numFmtId="210" fontId="2" fillId="0" borderId="0" xfId="1678" applyNumberFormat="1" applyFont="1" applyFill="1" applyAlignment="1">
      <alignment horizontal="left"/>
    </xf>
    <xf numFmtId="210" fontId="2" fillId="0" borderId="0" xfId="1678" applyNumberFormat="1" applyFont="1" applyFill="1" applyAlignment="1">
      <alignment horizontal="center"/>
    </xf>
    <xf numFmtId="210" fontId="3" fillId="0" borderId="0" xfId="0" applyNumberFormat="1" applyFont="1" applyFill="1" applyAlignment="1">
      <alignment horizontal="center"/>
    </xf>
    <xf numFmtId="210" fontId="3" fillId="0" borderId="0" xfId="0" applyNumberFormat="1" applyFont="1" applyFill="1" applyAlignment="1">
      <alignment horizontal="left"/>
    </xf>
    <xf numFmtId="210" fontId="3" fillId="0" borderId="0" xfId="0" applyNumberFormat="1" applyFont="1" applyFill="1" applyAlignment="1">
      <alignment horizontal="right"/>
    </xf>
    <xf numFmtId="210" fontId="4" fillId="0" borderId="0" xfId="0" applyNumberFormat="1" applyFont="1" applyFill="1" applyAlignment="1">
      <alignment/>
    </xf>
    <xf numFmtId="210" fontId="2" fillId="0" borderId="0" xfId="0" applyNumberFormat="1" applyFont="1" applyFill="1" applyBorder="1" applyAlignment="1">
      <alignment/>
    </xf>
    <xf numFmtId="210" fontId="3" fillId="0" borderId="0" xfId="0" applyNumberFormat="1" applyFont="1" applyFill="1" applyAlignment="1" quotePrefix="1">
      <alignment horizontal="center"/>
    </xf>
    <xf numFmtId="219" fontId="6" fillId="0" borderId="0" xfId="0" applyNumberFormat="1" applyFont="1" applyFill="1" applyAlignment="1">
      <alignment/>
    </xf>
    <xf numFmtId="219" fontId="2" fillId="0" borderId="27" xfId="1662" applyNumberFormat="1" applyFont="1" applyFill="1" applyBorder="1" applyAlignment="1" applyProtection="1" quotePrefix="1">
      <alignment/>
      <protection/>
    </xf>
    <xf numFmtId="219" fontId="2" fillId="0" borderId="28" xfId="1605" applyNumberFormat="1" applyFont="1" applyFill="1" applyBorder="1" applyAlignment="1">
      <alignment/>
    </xf>
    <xf numFmtId="39" fontId="2" fillId="0" borderId="0" xfId="2587" applyNumberFormat="1" applyFont="1" applyFill="1" applyBorder="1" applyAlignment="1" applyProtection="1" quotePrefix="1">
      <alignment horizontal="left"/>
      <protection/>
    </xf>
    <xf numFmtId="39" fontId="2" fillId="0" borderId="0" xfId="1637" applyNumberFormat="1" applyFont="1" applyFill="1" applyAlignment="1">
      <alignment/>
    </xf>
    <xf numFmtId="210" fontId="2" fillId="0" borderId="0" xfId="1637" applyNumberFormat="1" applyFont="1" applyFill="1" applyAlignment="1">
      <alignment/>
    </xf>
    <xf numFmtId="43" fontId="10" fillId="0" borderId="0" xfId="1637" applyFont="1" applyFill="1" applyBorder="1" applyAlignment="1">
      <alignment/>
    </xf>
    <xf numFmtId="43" fontId="10" fillId="0" borderId="0" xfId="1637" applyFont="1" applyFill="1" applyBorder="1" applyAlignment="1">
      <alignment/>
    </xf>
    <xf numFmtId="216" fontId="10" fillId="0" borderId="0" xfId="1637" applyNumberFormat="1" applyFont="1" applyFill="1" applyBorder="1" applyAlignment="1">
      <alignment/>
    </xf>
    <xf numFmtId="210" fontId="2" fillId="0" borderId="0" xfId="1637" applyNumberFormat="1" applyFont="1" applyFill="1" applyBorder="1" applyAlignment="1">
      <alignment/>
    </xf>
    <xf numFmtId="218" fontId="10" fillId="0" borderId="0" xfId="1637" applyNumberFormat="1" applyFont="1" applyFill="1" applyBorder="1" applyAlignment="1">
      <alignment/>
    </xf>
    <xf numFmtId="210" fontId="11" fillId="0" borderId="0" xfId="0" applyNumberFormat="1" applyFont="1" applyFill="1" applyAlignment="1">
      <alignment/>
    </xf>
    <xf numFmtId="210" fontId="10" fillId="0" borderId="0" xfId="0" applyNumberFormat="1" applyFont="1" applyFill="1" applyBorder="1" applyAlignment="1">
      <alignment/>
    </xf>
    <xf numFmtId="43" fontId="2" fillId="0" borderId="0" xfId="1637" applyFont="1" applyFill="1" applyAlignment="1">
      <alignment/>
    </xf>
    <xf numFmtId="210" fontId="10" fillId="0" borderId="0" xfId="1637" applyNumberFormat="1" applyFont="1" applyFill="1" applyAlignment="1">
      <alignment/>
    </xf>
    <xf numFmtId="206" fontId="2" fillId="0" borderId="0" xfId="1637" applyNumberFormat="1" applyFont="1" applyFill="1" applyAlignment="1">
      <alignment/>
    </xf>
    <xf numFmtId="39" fontId="2" fillId="0" borderId="0" xfId="1637" applyNumberFormat="1" applyFont="1" applyFill="1" applyAlignment="1">
      <alignment horizontal="center"/>
    </xf>
    <xf numFmtId="39" fontId="2" fillId="0" borderId="0" xfId="1637" applyNumberFormat="1" applyFont="1" applyFill="1" applyAlignment="1">
      <alignment/>
    </xf>
    <xf numFmtId="206" fontId="2" fillId="0" borderId="28" xfId="1637" applyNumberFormat="1" applyFont="1" applyFill="1" applyBorder="1" applyAlignment="1" applyProtection="1" quotePrefix="1">
      <alignment/>
      <protection/>
    </xf>
    <xf numFmtId="39" fontId="2" fillId="0" borderId="0" xfId="1637" applyNumberFormat="1" applyFont="1" applyFill="1" applyAlignment="1" applyProtection="1" quotePrefix="1">
      <alignment horizontal="center"/>
      <protection/>
    </xf>
    <xf numFmtId="39" fontId="2" fillId="0" borderId="0" xfId="1637" applyNumberFormat="1" applyFont="1" applyFill="1" applyAlignment="1" applyProtection="1" quotePrefix="1">
      <alignment/>
      <protection/>
    </xf>
    <xf numFmtId="218" fontId="2" fillId="0" borderId="28" xfId="1637" applyNumberFormat="1" applyFont="1" applyFill="1" applyBorder="1" applyAlignment="1">
      <alignment/>
    </xf>
    <xf numFmtId="218" fontId="6" fillId="0" borderId="0" xfId="1637" applyNumberFormat="1" applyFont="1" applyFill="1" applyAlignment="1">
      <alignment/>
    </xf>
    <xf numFmtId="207" fontId="2" fillId="0" borderId="0" xfId="2587" applyNumberFormat="1" applyFont="1" applyFill="1" applyBorder="1" applyAlignment="1" applyProtection="1" quotePrefix="1">
      <alignment horizontal="right"/>
      <protection/>
    </xf>
    <xf numFmtId="207" fontId="10" fillId="0" borderId="0" xfId="2205" applyNumberFormat="1" applyFont="1" applyFill="1" applyBorder="1" applyAlignment="1">
      <alignment horizontal="center"/>
      <protection/>
    </xf>
    <xf numFmtId="210" fontId="16" fillId="0" borderId="0" xfId="2591" applyNumberFormat="1" applyFont="1" applyFill="1">
      <alignment/>
      <protection/>
    </xf>
    <xf numFmtId="0" fontId="16" fillId="0" borderId="0" xfId="0" applyFont="1" applyFill="1" applyAlignment="1">
      <alignment/>
    </xf>
    <xf numFmtId="0" fontId="14" fillId="0" borderId="0" xfId="2089" applyFont="1" applyFill="1">
      <alignment/>
      <protection/>
    </xf>
    <xf numFmtId="39" fontId="16" fillId="0" borderId="0" xfId="2587" applyNumberFormat="1" applyFont="1" applyFill="1" applyAlignment="1" applyProtection="1">
      <alignment/>
      <protection/>
    </xf>
    <xf numFmtId="39" fontId="16" fillId="0" borderId="0" xfId="0" applyNumberFormat="1" applyFont="1" applyFill="1" applyAlignment="1">
      <alignment/>
    </xf>
    <xf numFmtId="39" fontId="18" fillId="0" borderId="0" xfId="2587" applyNumberFormat="1" applyFont="1" applyFill="1" applyAlignment="1">
      <alignment/>
      <protection/>
    </xf>
    <xf numFmtId="0" fontId="18" fillId="0" borderId="0" xfId="0" applyFont="1" applyFill="1" applyAlignment="1">
      <alignment/>
    </xf>
    <xf numFmtId="39" fontId="16" fillId="0" borderId="0" xfId="0" applyNumberFormat="1" applyFont="1" applyFill="1" applyAlignment="1">
      <alignment/>
    </xf>
    <xf numFmtId="39" fontId="16" fillId="0" borderId="0" xfId="2559" applyNumberFormat="1" applyFont="1" applyFill="1" applyBorder="1" applyAlignment="1" applyProtection="1">
      <alignment/>
      <protection/>
    </xf>
    <xf numFmtId="39" fontId="16" fillId="0" borderId="0" xfId="2587" applyNumberFormat="1" applyFont="1" applyFill="1" applyAlignment="1">
      <alignment/>
      <protection/>
    </xf>
    <xf numFmtId="0" fontId="16" fillId="0" borderId="0" xfId="2203" applyNumberFormat="1" applyFont="1" applyFill="1" applyAlignment="1">
      <alignment horizontal="center" vertical="center"/>
      <protection/>
    </xf>
    <xf numFmtId="39" fontId="16" fillId="0" borderId="0" xfId="2587" applyNumberFormat="1" applyFont="1" applyFill="1" applyAlignment="1" applyProtection="1">
      <alignment horizontal="centerContinuous"/>
      <protection/>
    </xf>
    <xf numFmtId="39" fontId="16" fillId="0" borderId="0" xfId="2587" applyNumberFormat="1" applyFont="1" applyFill="1" applyAlignment="1">
      <alignment horizontal="centerContinuous"/>
      <protection/>
    </xf>
    <xf numFmtId="39" fontId="16" fillId="0" borderId="0" xfId="1610" applyNumberFormat="1" applyFont="1" applyFill="1" applyAlignment="1">
      <alignment horizontal="centerContinuous"/>
    </xf>
    <xf numFmtId="39" fontId="16" fillId="0" borderId="0" xfId="1678" applyNumberFormat="1" applyFont="1" applyFill="1" applyAlignment="1">
      <alignment horizontal="left" vertical="center"/>
    </xf>
    <xf numFmtId="39" fontId="16" fillId="0" borderId="0" xfId="1678" applyNumberFormat="1" applyFont="1" applyFill="1" applyAlignment="1">
      <alignment horizontal="center" vertical="center"/>
    </xf>
    <xf numFmtId="39" fontId="16" fillId="0" borderId="0" xfId="2089" applyNumberFormat="1" applyFont="1" applyFill="1" applyAlignment="1">
      <alignment/>
      <protection/>
    </xf>
    <xf numFmtId="39" fontId="16" fillId="0" borderId="0" xfId="1610" applyNumberFormat="1" applyFont="1" applyFill="1" applyAlignment="1">
      <alignment/>
    </xf>
    <xf numFmtId="39" fontId="16" fillId="0" borderId="0" xfId="0" applyNumberFormat="1" applyFont="1" applyFill="1" applyAlignment="1">
      <alignment horizontal="centerContinuous"/>
    </xf>
    <xf numFmtId="223" fontId="16" fillId="0" borderId="0" xfId="1602" applyNumberFormat="1" applyFont="1" applyFill="1" applyBorder="1" applyAlignment="1">
      <alignment vertical="center"/>
    </xf>
    <xf numFmtId="0" fontId="20" fillId="0" borderId="0" xfId="2119" applyFont="1" applyFill="1" applyAlignment="1">
      <alignment horizontal="center" vertical="center"/>
      <protection/>
    </xf>
    <xf numFmtId="0" fontId="20" fillId="0" borderId="0" xfId="2119" applyFont="1" applyFill="1" applyAlignment="1">
      <alignment horizontal="center" vertical="center" textRotation="180"/>
      <protection/>
    </xf>
    <xf numFmtId="0" fontId="20" fillId="0" borderId="0" xfId="2119" applyFont="1" applyFill="1" applyAlignment="1">
      <alignment vertical="center"/>
      <protection/>
    </xf>
    <xf numFmtId="0" fontId="20" fillId="0" borderId="0" xfId="2119" applyFont="1" applyFill="1" applyBorder="1" applyAlignment="1">
      <alignment horizontal="center" vertical="center"/>
      <protection/>
    </xf>
    <xf numFmtId="0" fontId="21" fillId="0" borderId="0" xfId="2119" applyFont="1" applyFill="1" applyAlignment="1">
      <alignment vertical="center"/>
      <protection/>
    </xf>
    <xf numFmtId="0" fontId="20" fillId="0" borderId="0" xfId="2119" applyFont="1" applyFill="1" applyBorder="1" applyAlignment="1">
      <alignment vertical="center"/>
      <protection/>
    </xf>
    <xf numFmtId="0" fontId="20" fillId="0" borderId="27" xfId="2119" applyFont="1" applyFill="1" applyBorder="1" applyAlignment="1">
      <alignment vertical="center"/>
      <protection/>
    </xf>
    <xf numFmtId="43" fontId="20" fillId="0" borderId="0" xfId="2119" applyNumberFormat="1" applyFont="1" applyFill="1" applyAlignment="1">
      <alignment vertical="center"/>
      <protection/>
    </xf>
    <xf numFmtId="0" fontId="20" fillId="0" borderId="29" xfId="2119" applyFont="1" applyFill="1" applyBorder="1" applyAlignment="1">
      <alignment horizontal="centerContinuous" vertical="center"/>
      <protection/>
    </xf>
    <xf numFmtId="0" fontId="20" fillId="0" borderId="29" xfId="2119" applyFont="1" applyFill="1" applyBorder="1" applyAlignment="1">
      <alignment horizontal="center" vertical="center"/>
      <protection/>
    </xf>
    <xf numFmtId="0" fontId="20" fillId="0" borderId="0" xfId="2119" applyFont="1" applyFill="1" applyBorder="1" applyAlignment="1">
      <alignment horizontal="centerContinuous" vertical="center"/>
      <protection/>
    </xf>
    <xf numFmtId="0" fontId="20" fillId="0" borderId="27" xfId="2119" applyFont="1" applyFill="1" applyBorder="1" applyAlignment="1">
      <alignment horizontal="center" vertical="center"/>
      <protection/>
    </xf>
    <xf numFmtId="0" fontId="20" fillId="0" borderId="0" xfId="2170" applyFont="1" applyFill="1" applyBorder="1" applyAlignment="1">
      <alignment horizontal="center" vertical="center"/>
      <protection/>
    </xf>
    <xf numFmtId="0" fontId="20" fillId="0" borderId="27" xfId="2119" applyFont="1" applyFill="1" applyBorder="1" applyAlignment="1">
      <alignment horizontal="centerContinuous" vertical="center"/>
      <protection/>
    </xf>
    <xf numFmtId="0" fontId="20" fillId="0" borderId="27" xfId="2170" applyFont="1" applyFill="1" applyBorder="1" applyAlignment="1">
      <alignment horizontal="center" vertical="center"/>
      <protection/>
    </xf>
    <xf numFmtId="205" fontId="20" fillId="0" borderId="0" xfId="1651" applyNumberFormat="1" applyFont="1" applyFill="1" applyBorder="1" applyAlignment="1">
      <alignment vertical="center"/>
    </xf>
    <xf numFmtId="43" fontId="20" fillId="0" borderId="0" xfId="1651" applyNumberFormat="1" applyFont="1" applyFill="1" applyBorder="1" applyAlignment="1">
      <alignment vertical="center"/>
    </xf>
    <xf numFmtId="43" fontId="20" fillId="0" borderId="0" xfId="1651" applyNumberFormat="1" applyFont="1" applyFill="1" applyBorder="1" applyAlignment="1">
      <alignment horizontal="center" vertical="center"/>
    </xf>
    <xf numFmtId="43" fontId="20" fillId="0" borderId="0" xfId="1651" applyFont="1" applyFill="1" applyBorder="1" applyAlignment="1">
      <alignment vertical="center"/>
    </xf>
    <xf numFmtId="205" fontId="20" fillId="0" borderId="0" xfId="2119" applyNumberFormat="1" applyFont="1" applyFill="1" applyBorder="1" applyAlignment="1">
      <alignment vertical="center"/>
      <protection/>
    </xf>
    <xf numFmtId="194" fontId="20" fillId="0" borderId="0" xfId="1651" applyNumberFormat="1" applyFont="1" applyFill="1" applyBorder="1" applyAlignment="1">
      <alignment vertical="center"/>
    </xf>
    <xf numFmtId="43" fontId="20" fillId="0" borderId="0" xfId="2119" applyNumberFormat="1" applyFont="1" applyFill="1" applyBorder="1" applyAlignment="1">
      <alignment vertical="center"/>
      <protection/>
    </xf>
    <xf numFmtId="43" fontId="20" fillId="0" borderId="29" xfId="2119" applyNumberFormat="1" applyFont="1" applyFill="1" applyBorder="1" applyAlignment="1">
      <alignment vertical="center"/>
      <protection/>
    </xf>
    <xf numFmtId="207" fontId="20" fillId="0" borderId="0" xfId="2206" applyNumberFormat="1" applyFont="1" applyFill="1" applyBorder="1" applyAlignment="1">
      <alignment vertical="center"/>
      <protection/>
    </xf>
    <xf numFmtId="206" fontId="20" fillId="0" borderId="0" xfId="2119" applyNumberFormat="1" applyFont="1" applyFill="1" applyBorder="1" applyAlignment="1">
      <alignment vertical="center"/>
      <protection/>
    </xf>
    <xf numFmtId="43" fontId="20" fillId="0" borderId="0" xfId="2540" applyFont="1" applyFill="1" applyBorder="1" applyAlignment="1">
      <alignment vertical="center"/>
    </xf>
    <xf numFmtId="43" fontId="20" fillId="0" borderId="28" xfId="2119" applyNumberFormat="1" applyFont="1" applyFill="1" applyBorder="1" applyAlignment="1">
      <alignment vertical="center"/>
      <protection/>
    </xf>
    <xf numFmtId="43" fontId="20" fillId="0" borderId="0" xfId="1605" applyFont="1" applyFill="1" applyAlignment="1">
      <alignment vertical="center"/>
    </xf>
    <xf numFmtId="0" fontId="20" fillId="0" borderId="0" xfId="2119" applyFont="1" applyFill="1" applyAlignment="1">
      <alignment horizontal="left" vertical="center"/>
      <protection/>
    </xf>
    <xf numFmtId="0" fontId="20" fillId="0" borderId="0" xfId="2170" applyFont="1" applyFill="1" applyAlignment="1">
      <alignment horizontal="left" vertical="center"/>
      <protection/>
    </xf>
    <xf numFmtId="43" fontId="20" fillId="0" borderId="0" xfId="2170" applyNumberFormat="1" applyFont="1" applyFill="1" applyAlignment="1">
      <alignment horizontal="left" vertical="center"/>
      <protection/>
    </xf>
    <xf numFmtId="40" fontId="12" fillId="0" borderId="0" xfId="2089" applyNumberFormat="1" applyFont="1" applyFill="1" applyAlignment="1" quotePrefix="1">
      <alignment horizontal="centerContinuous"/>
      <protection/>
    </xf>
    <xf numFmtId="207" fontId="20" fillId="0" borderId="0" xfId="2205" applyNumberFormat="1" applyFont="1" applyFill="1">
      <alignment/>
      <protection/>
    </xf>
    <xf numFmtId="40" fontId="12" fillId="0" borderId="0" xfId="2089" applyNumberFormat="1" applyFont="1" applyFill="1" applyAlignment="1" quotePrefix="1">
      <alignment horizontal="center"/>
      <protection/>
    </xf>
    <xf numFmtId="207" fontId="21" fillId="0" borderId="0" xfId="2205" applyNumberFormat="1" applyFont="1" applyFill="1">
      <alignment/>
      <protection/>
    </xf>
    <xf numFmtId="207" fontId="21" fillId="0" borderId="27" xfId="2205" applyNumberFormat="1" applyFont="1" applyFill="1" applyBorder="1">
      <alignment/>
      <protection/>
    </xf>
    <xf numFmtId="207" fontId="20" fillId="0" borderId="27" xfId="2205" applyNumberFormat="1" applyFont="1" applyFill="1" applyBorder="1">
      <alignment/>
      <protection/>
    </xf>
    <xf numFmtId="207" fontId="20" fillId="0" borderId="27" xfId="1674" applyNumberFormat="1" applyFont="1" applyFill="1" applyBorder="1" applyAlignment="1">
      <alignment/>
    </xf>
    <xf numFmtId="207" fontId="21" fillId="0" borderId="0" xfId="2205" applyNumberFormat="1" applyFont="1" applyFill="1" applyAlignment="1">
      <alignment horizontal="center"/>
      <protection/>
    </xf>
    <xf numFmtId="207" fontId="21" fillId="0" borderId="27" xfId="2205" applyNumberFormat="1" applyFont="1" applyFill="1" applyBorder="1" applyAlignment="1">
      <alignment horizontal="center"/>
      <protection/>
    </xf>
    <xf numFmtId="207" fontId="21" fillId="0" borderId="0" xfId="2205" applyNumberFormat="1" applyFont="1" applyFill="1" applyBorder="1" applyAlignment="1">
      <alignment horizontal="center"/>
      <protection/>
    </xf>
    <xf numFmtId="0" fontId="21" fillId="0" borderId="27" xfId="2205" applyNumberFormat="1" applyFont="1" applyFill="1" applyBorder="1" applyAlignment="1" quotePrefix="1">
      <alignment horizontal="center"/>
      <protection/>
    </xf>
    <xf numFmtId="209" fontId="20" fillId="0" borderId="0" xfId="2205" applyNumberFormat="1" applyFont="1" applyFill="1" applyAlignment="1">
      <alignment horizontal="center"/>
      <protection/>
    </xf>
    <xf numFmtId="207" fontId="20" fillId="0" borderId="0" xfId="2205" applyNumberFormat="1" applyFont="1" applyFill="1" applyBorder="1" applyAlignment="1">
      <alignment/>
      <protection/>
    </xf>
    <xf numFmtId="207" fontId="20" fillId="0" borderId="0" xfId="2205" applyNumberFormat="1" applyFont="1" applyFill="1" applyAlignment="1">
      <alignment horizontal="center"/>
      <protection/>
    </xf>
    <xf numFmtId="209" fontId="20" fillId="0" borderId="0" xfId="2205" applyNumberFormat="1" applyFont="1" applyFill="1">
      <alignment/>
      <protection/>
    </xf>
    <xf numFmtId="207" fontId="20" fillId="0" borderId="0" xfId="2205" applyNumberFormat="1" applyFont="1" applyFill="1" applyBorder="1" applyAlignment="1">
      <alignment horizontal="center"/>
      <protection/>
    </xf>
    <xf numFmtId="209" fontId="20" fillId="0" borderId="0" xfId="1674" applyNumberFormat="1" applyFont="1" applyFill="1" applyBorder="1" applyAlignment="1">
      <alignment/>
    </xf>
    <xf numFmtId="43" fontId="20" fillId="0" borderId="0" xfId="1605" applyFont="1" applyFill="1" applyBorder="1" applyAlignment="1">
      <alignment/>
    </xf>
    <xf numFmtId="43" fontId="20" fillId="0" borderId="0" xfId="1674" applyNumberFormat="1" applyFont="1" applyFill="1" applyBorder="1" applyAlignment="1">
      <alignment/>
    </xf>
    <xf numFmtId="43" fontId="20" fillId="0" borderId="0" xfId="1605" applyFont="1" applyFill="1" applyAlignment="1">
      <alignment/>
    </xf>
    <xf numFmtId="40" fontId="20" fillId="0" borderId="0" xfId="2205" applyNumberFormat="1" applyFont="1" applyFill="1" applyBorder="1" applyAlignment="1">
      <alignment/>
      <protection/>
    </xf>
    <xf numFmtId="40" fontId="20" fillId="0" borderId="0" xfId="2205" applyNumberFormat="1" applyFont="1" applyFill="1" applyAlignment="1">
      <alignment horizontal="center"/>
      <protection/>
    </xf>
    <xf numFmtId="40" fontId="20" fillId="0" borderId="0" xfId="2205" applyNumberFormat="1" applyFont="1" applyFill="1">
      <alignment/>
      <protection/>
    </xf>
    <xf numFmtId="207" fontId="20" fillId="0" borderId="0" xfId="2205" applyNumberFormat="1" applyFont="1" applyFill="1" applyBorder="1">
      <alignment/>
      <protection/>
    </xf>
    <xf numFmtId="207" fontId="20" fillId="0" borderId="28" xfId="2205" applyNumberFormat="1" applyFont="1" applyFill="1" applyBorder="1">
      <alignment/>
      <protection/>
    </xf>
    <xf numFmtId="209" fontId="21" fillId="0" borderId="0" xfId="2205" applyNumberFormat="1" applyFont="1" applyFill="1" applyAlignment="1">
      <alignment horizontal="left"/>
      <protection/>
    </xf>
    <xf numFmtId="209" fontId="20" fillId="0" borderId="0" xfId="2205" applyNumberFormat="1" applyFont="1" applyFill="1" applyBorder="1">
      <alignment/>
      <protection/>
    </xf>
    <xf numFmtId="43" fontId="20" fillId="0" borderId="0" xfId="1605" applyFont="1" applyFill="1" applyBorder="1" applyAlignment="1" quotePrefix="1">
      <alignment/>
    </xf>
    <xf numFmtId="40" fontId="20" fillId="0" borderId="0" xfId="2089" applyNumberFormat="1" applyFont="1" applyFill="1" applyAlignment="1">
      <alignment horizontal="centerContinuous" vertical="center"/>
      <protection/>
    </xf>
    <xf numFmtId="207" fontId="20" fillId="0" borderId="0" xfId="2205" applyNumberFormat="1" applyFont="1" applyFill="1" applyBorder="1" applyAlignment="1">
      <alignment horizontal="centerContinuous"/>
      <protection/>
    </xf>
    <xf numFmtId="40" fontId="20" fillId="0" borderId="0" xfId="2089" applyNumberFormat="1" applyFont="1" applyFill="1">
      <alignment/>
      <protection/>
    </xf>
    <xf numFmtId="207" fontId="20" fillId="0" borderId="0" xfId="1674" applyNumberFormat="1" applyFont="1" applyFill="1" applyBorder="1" applyAlignment="1">
      <alignment/>
    </xf>
    <xf numFmtId="207" fontId="20" fillId="0" borderId="27" xfId="2205" applyNumberFormat="1" applyFont="1" applyFill="1" applyBorder="1" applyAlignment="1">
      <alignment horizontal="center"/>
      <protection/>
    </xf>
    <xf numFmtId="207" fontId="20" fillId="0" borderId="0" xfId="2205" applyNumberFormat="1" applyFont="1" applyFill="1" applyBorder="1" applyAlignment="1">
      <alignment horizontal="right"/>
      <protection/>
    </xf>
    <xf numFmtId="207" fontId="20" fillId="0" borderId="0" xfId="2202" applyNumberFormat="1" applyFont="1" applyFill="1" applyBorder="1" applyAlignment="1">
      <alignment/>
      <protection/>
    </xf>
    <xf numFmtId="207" fontId="20" fillId="0" borderId="0" xfId="2202" applyNumberFormat="1" applyFont="1" applyFill="1" applyBorder="1" applyAlignment="1">
      <alignment horizontal="center"/>
      <protection/>
    </xf>
    <xf numFmtId="207" fontId="20" fillId="0" borderId="0" xfId="2202" applyNumberFormat="1" applyFont="1" applyFill="1">
      <alignment/>
      <protection/>
    </xf>
    <xf numFmtId="209" fontId="20" fillId="0" borderId="0" xfId="2202" applyNumberFormat="1" applyFont="1" applyFill="1">
      <alignment/>
      <protection/>
    </xf>
    <xf numFmtId="207" fontId="20" fillId="0" borderId="0" xfId="2202" applyNumberFormat="1" applyFont="1" applyFill="1" applyAlignment="1">
      <alignment horizontal="center"/>
      <protection/>
    </xf>
    <xf numFmtId="0" fontId="20" fillId="0" borderId="0" xfId="2205" applyFont="1" applyFill="1" applyBorder="1">
      <alignment/>
      <protection/>
    </xf>
    <xf numFmtId="0" fontId="20" fillId="0" borderId="0" xfId="2205" applyFont="1" applyFill="1" applyBorder="1" applyAlignment="1">
      <alignment/>
      <protection/>
    </xf>
    <xf numFmtId="0" fontId="20" fillId="0" borderId="0" xfId="2205" applyFont="1" applyFill="1" applyBorder="1" applyAlignment="1">
      <alignment horizontal="center"/>
      <protection/>
    </xf>
    <xf numFmtId="207" fontId="12" fillId="0" borderId="0" xfId="2089" applyNumberFormat="1" applyFont="1" applyFill="1" applyAlignment="1" quotePrefix="1">
      <alignment horizontal="center"/>
      <protection/>
    </xf>
    <xf numFmtId="0" fontId="20" fillId="0" borderId="0" xfId="2205" applyFont="1" applyFill="1" applyAlignment="1">
      <alignment horizontal="center"/>
      <protection/>
    </xf>
    <xf numFmtId="0" fontId="20" fillId="0" borderId="0" xfId="2205" applyFont="1" applyFill="1" applyBorder="1" applyAlignment="1">
      <alignment horizontal="left"/>
      <protection/>
    </xf>
    <xf numFmtId="38" fontId="20" fillId="0" borderId="0" xfId="2205" applyNumberFormat="1" applyFont="1" applyFill="1" applyAlignment="1">
      <alignment horizontal="center"/>
      <protection/>
    </xf>
    <xf numFmtId="43" fontId="20" fillId="0" borderId="0" xfId="1674" applyFont="1" applyFill="1" applyBorder="1" applyAlignment="1">
      <alignment/>
    </xf>
    <xf numFmtId="209" fontId="20" fillId="0" borderId="0" xfId="1674" applyNumberFormat="1" applyFont="1" applyFill="1" applyBorder="1" applyAlignment="1">
      <alignment horizontal="right"/>
    </xf>
    <xf numFmtId="207" fontId="20" fillId="0" borderId="0" xfId="2205" applyNumberFormat="1" applyFont="1" applyFill="1" applyBorder="1" applyAlignment="1">
      <alignment horizontal="left"/>
      <protection/>
    </xf>
    <xf numFmtId="207" fontId="21" fillId="0" borderId="0" xfId="2205" applyNumberFormat="1" applyFont="1" applyFill="1" applyAlignment="1">
      <alignment/>
      <protection/>
    </xf>
    <xf numFmtId="210" fontId="16" fillId="0" borderId="0" xfId="2587" applyNumberFormat="1" applyFont="1" applyFill="1" applyAlignment="1" applyProtection="1">
      <alignment/>
      <protection/>
    </xf>
    <xf numFmtId="40" fontId="21" fillId="0" borderId="0" xfId="2205" applyNumberFormat="1" applyFont="1" applyFill="1" applyBorder="1">
      <alignment/>
      <protection/>
    </xf>
    <xf numFmtId="40" fontId="21" fillId="0" borderId="27" xfId="2205" applyNumberFormat="1" applyFont="1" applyFill="1" applyBorder="1">
      <alignment/>
      <protection/>
    </xf>
    <xf numFmtId="40" fontId="20" fillId="0" borderId="27" xfId="2205" applyNumberFormat="1" applyFont="1" applyFill="1" applyBorder="1">
      <alignment/>
      <protection/>
    </xf>
    <xf numFmtId="40" fontId="21" fillId="0" borderId="0" xfId="2205" applyNumberFormat="1" applyFont="1" applyFill="1" applyAlignment="1">
      <alignment horizontal="center"/>
      <protection/>
    </xf>
    <xf numFmtId="40" fontId="21" fillId="0" borderId="0" xfId="2205" applyNumberFormat="1" applyFont="1" applyFill="1">
      <alignment/>
      <protection/>
    </xf>
    <xf numFmtId="0" fontId="12" fillId="0" borderId="0" xfId="2205" applyFont="1" applyFill="1" applyBorder="1">
      <alignment/>
      <protection/>
    </xf>
    <xf numFmtId="38" fontId="20" fillId="0" borderId="0" xfId="2205" applyNumberFormat="1" applyFont="1" applyFill="1">
      <alignment/>
      <protection/>
    </xf>
    <xf numFmtId="40" fontId="20" fillId="0" borderId="0" xfId="2205" applyNumberFormat="1" applyFont="1" applyFill="1" applyAlignment="1">
      <alignment horizontal="left"/>
      <protection/>
    </xf>
    <xf numFmtId="40" fontId="20" fillId="0" borderId="0" xfId="2205" applyNumberFormat="1" applyFont="1" applyFill="1" applyBorder="1" applyAlignment="1">
      <alignment horizontal="left"/>
      <protection/>
    </xf>
    <xf numFmtId="40" fontId="20" fillId="0" borderId="0" xfId="2205" applyNumberFormat="1" applyFont="1" applyFill="1" applyBorder="1">
      <alignment/>
      <protection/>
    </xf>
    <xf numFmtId="215" fontId="20" fillId="0" borderId="0" xfId="1674" applyNumberFormat="1" applyFont="1" applyFill="1" applyBorder="1" applyAlignment="1">
      <alignment/>
    </xf>
    <xf numFmtId="43" fontId="20" fillId="0" borderId="28" xfId="1674" applyFont="1" applyFill="1" applyBorder="1" applyAlignment="1">
      <alignment/>
    </xf>
    <xf numFmtId="220" fontId="20" fillId="0" borderId="0" xfId="1674" applyNumberFormat="1" applyFont="1" applyFill="1" applyBorder="1" applyAlignment="1">
      <alignment/>
    </xf>
    <xf numFmtId="40" fontId="20" fillId="0" borderId="0" xfId="2205" applyNumberFormat="1" applyFont="1" applyFill="1" applyAlignment="1">
      <alignment/>
      <protection/>
    </xf>
    <xf numFmtId="0" fontId="20" fillId="0" borderId="0" xfId="2205" applyFont="1" applyFill="1">
      <alignment/>
      <protection/>
    </xf>
    <xf numFmtId="43" fontId="20" fillId="0" borderId="29" xfId="1674" applyFont="1" applyFill="1" applyBorder="1" applyAlignment="1">
      <alignment/>
    </xf>
    <xf numFmtId="201" fontId="20" fillId="0" borderId="0" xfId="1674" applyNumberFormat="1" applyFont="1" applyFill="1" applyBorder="1" applyAlignment="1">
      <alignment/>
    </xf>
    <xf numFmtId="0" fontId="21" fillId="0" borderId="0" xfId="2205" applyFont="1" applyFill="1" applyAlignment="1">
      <alignment/>
      <protection/>
    </xf>
    <xf numFmtId="201" fontId="21" fillId="0" borderId="0" xfId="1674" applyNumberFormat="1" applyFont="1" applyFill="1" applyBorder="1" applyAlignment="1">
      <alignment/>
    </xf>
    <xf numFmtId="43" fontId="21" fillId="0" borderId="0" xfId="1605" applyFont="1" applyFill="1" applyBorder="1" applyAlignment="1">
      <alignment/>
    </xf>
    <xf numFmtId="39" fontId="20" fillId="0" borderId="0" xfId="2205" applyNumberFormat="1" applyFont="1" applyFill="1" applyAlignment="1">
      <alignment horizontal="center"/>
      <protection/>
    </xf>
    <xf numFmtId="40" fontId="12" fillId="0" borderId="0" xfId="2207" applyNumberFormat="1" applyFont="1" applyFill="1" applyAlignment="1">
      <alignment/>
      <protection/>
    </xf>
    <xf numFmtId="0" fontId="12" fillId="0" borderId="0" xfId="2207" applyFont="1" applyFill="1" applyAlignment="1">
      <alignment horizontal="centerContinuous"/>
      <protection/>
    </xf>
    <xf numFmtId="39" fontId="12" fillId="0" borderId="0" xfId="0" applyNumberFormat="1" applyFont="1" applyFill="1" applyAlignment="1">
      <alignment/>
    </xf>
    <xf numFmtId="39" fontId="12" fillId="0" borderId="0" xfId="1602" applyNumberFormat="1" applyFont="1" applyFill="1" applyBorder="1" applyAlignment="1" applyProtection="1" quotePrefix="1">
      <alignment/>
      <protection/>
    </xf>
    <xf numFmtId="39" fontId="12" fillId="0" borderId="0" xfId="1602" applyNumberFormat="1" applyFont="1" applyFill="1" applyBorder="1" applyAlignment="1" applyProtection="1" quotePrefix="1">
      <alignment horizontal="center"/>
      <protection/>
    </xf>
    <xf numFmtId="39" fontId="22" fillId="0" borderId="0" xfId="0" applyNumberFormat="1" applyFont="1" applyFill="1" applyAlignment="1">
      <alignment horizontal="left"/>
    </xf>
    <xf numFmtId="39" fontId="12" fillId="0" borderId="0" xfId="2540" applyNumberFormat="1" applyFont="1" applyFill="1" applyAlignment="1">
      <alignment/>
    </xf>
    <xf numFmtId="39" fontId="12" fillId="0" borderId="0" xfId="0" applyNumberFormat="1" applyFont="1" applyFill="1" applyAlignment="1">
      <alignment horizontal="center"/>
    </xf>
    <xf numFmtId="39" fontId="12" fillId="0" borderId="0" xfId="2540" applyNumberFormat="1" applyFont="1" applyFill="1" applyBorder="1" applyAlignment="1" applyProtection="1" quotePrefix="1">
      <alignment/>
      <protection/>
    </xf>
    <xf numFmtId="0" fontId="12" fillId="0" borderId="0" xfId="0" applyFont="1" applyFill="1" applyAlignment="1">
      <alignment/>
    </xf>
    <xf numFmtId="0" fontId="22" fillId="0" borderId="0" xfId="0" applyFont="1" applyFill="1" applyAlignment="1">
      <alignment/>
    </xf>
    <xf numFmtId="39" fontId="3" fillId="0" borderId="0" xfId="0" applyNumberFormat="1" applyFont="1" applyFill="1" applyAlignment="1">
      <alignment horizontal="left"/>
    </xf>
    <xf numFmtId="39" fontId="16" fillId="0" borderId="0" xfId="2087" applyNumberFormat="1" applyFont="1" applyFill="1" applyAlignment="1">
      <alignment/>
      <protection/>
    </xf>
    <xf numFmtId="39" fontId="22" fillId="0" borderId="0" xfId="0" applyNumberFormat="1" applyFont="1" applyFill="1" applyAlignment="1">
      <alignment/>
    </xf>
    <xf numFmtId="0" fontId="18" fillId="0" borderId="0" xfId="2087" applyFont="1" applyFill="1" applyAlignment="1">
      <alignment horizontal="center"/>
      <protection/>
    </xf>
    <xf numFmtId="39" fontId="18" fillId="0" borderId="29" xfId="0" applyNumberFormat="1" applyFont="1" applyFill="1" applyBorder="1" applyAlignment="1" quotePrefix="1">
      <alignment horizontal="center"/>
    </xf>
    <xf numFmtId="39" fontId="18" fillId="0" borderId="29" xfId="0" applyNumberFormat="1" applyFont="1" applyFill="1" applyBorder="1" applyAlignment="1">
      <alignment horizontal="center"/>
    </xf>
    <xf numFmtId="39" fontId="12" fillId="0" borderId="0" xfId="2587" applyNumberFormat="1" applyFont="1" applyFill="1" applyBorder="1" applyAlignment="1" applyProtection="1" quotePrefix="1">
      <alignment horizontal="centerContinuous"/>
      <protection/>
    </xf>
    <xf numFmtId="39" fontId="22" fillId="0" borderId="0" xfId="2587" applyNumberFormat="1" applyFont="1" applyFill="1" applyBorder="1" applyAlignment="1" applyProtection="1" quotePrefix="1">
      <alignment horizontal="left"/>
      <protection/>
    </xf>
    <xf numFmtId="39" fontId="12" fillId="0" borderId="29" xfId="2587" applyNumberFormat="1" applyFont="1" applyFill="1" applyBorder="1" applyAlignment="1" applyProtection="1" quotePrefix="1">
      <alignment horizontal="centerContinuous"/>
      <protection/>
    </xf>
    <xf numFmtId="39" fontId="12" fillId="0" borderId="0" xfId="2587" applyNumberFormat="1" applyFont="1" applyFill="1" applyBorder="1" applyAlignment="1" applyProtection="1" quotePrefix="1">
      <alignment horizontal="left"/>
      <protection/>
    </xf>
    <xf numFmtId="223" fontId="19" fillId="0" borderId="0" xfId="1602" applyNumberFormat="1" applyFont="1" applyFill="1" applyAlignment="1">
      <alignment horizontal="right"/>
    </xf>
    <xf numFmtId="223" fontId="12" fillId="0" borderId="0" xfId="1602" applyNumberFormat="1" applyFont="1" applyFill="1" applyBorder="1" applyAlignment="1" applyProtection="1" quotePrefix="1">
      <alignment horizontal="right"/>
      <protection/>
    </xf>
    <xf numFmtId="39" fontId="20" fillId="0" borderId="0" xfId="0" applyNumberFormat="1" applyFont="1" applyFill="1" applyAlignment="1">
      <alignment horizontal="centerContinuous"/>
    </xf>
    <xf numFmtId="39" fontId="12" fillId="0" borderId="0" xfId="2587" applyNumberFormat="1" applyFont="1" applyFill="1" applyBorder="1" applyAlignment="1" applyProtection="1">
      <alignment horizontal="centerContinuous"/>
      <protection/>
    </xf>
    <xf numFmtId="39" fontId="20" fillId="0" borderId="0" xfId="0" applyNumberFormat="1" applyFont="1" applyFill="1" applyAlignment="1">
      <alignment/>
    </xf>
    <xf numFmtId="225" fontId="12" fillId="0" borderId="0" xfId="0" applyNumberFormat="1" applyFont="1" applyFill="1" applyAlignment="1">
      <alignment/>
    </xf>
    <xf numFmtId="39" fontId="12" fillId="0" borderId="0" xfId="2089" applyNumberFormat="1" applyFont="1" applyFill="1" applyAlignment="1">
      <alignment horizontal="centerContinuous"/>
      <protection/>
    </xf>
    <xf numFmtId="39" fontId="12" fillId="0" borderId="0" xfId="2089" applyNumberFormat="1" applyFont="1" applyFill="1">
      <alignment/>
      <protection/>
    </xf>
    <xf numFmtId="39" fontId="22" fillId="0" borderId="0" xfId="2089" applyNumberFormat="1" applyFont="1" applyFill="1">
      <alignment/>
      <protection/>
    </xf>
    <xf numFmtId="39" fontId="12" fillId="0" borderId="0" xfId="2089" applyNumberFormat="1" applyFont="1" applyFill="1" applyAlignment="1">
      <alignment horizontal="right"/>
      <protection/>
    </xf>
    <xf numFmtId="39" fontId="12" fillId="0" borderId="27" xfId="2089" applyNumberFormat="1" applyFont="1" applyFill="1" applyBorder="1" applyAlignment="1">
      <alignment horizontal="centerContinuous"/>
      <protection/>
    </xf>
    <xf numFmtId="39" fontId="12" fillId="0" borderId="0" xfId="2089" applyNumberFormat="1" applyFont="1" applyFill="1" applyBorder="1" applyAlignment="1">
      <alignment horizontal="center"/>
      <protection/>
    </xf>
    <xf numFmtId="39" fontId="12" fillId="0" borderId="0" xfId="2089" applyNumberFormat="1" applyFont="1" applyFill="1" applyBorder="1">
      <alignment/>
      <protection/>
    </xf>
    <xf numFmtId="208" fontId="12" fillId="0" borderId="0" xfId="2089" applyNumberFormat="1" applyFont="1" applyFill="1" applyBorder="1">
      <alignment/>
      <protection/>
    </xf>
    <xf numFmtId="208" fontId="12" fillId="0" borderId="27" xfId="2089" applyNumberFormat="1" applyFont="1" applyFill="1" applyBorder="1">
      <alignment/>
      <protection/>
    </xf>
    <xf numFmtId="208" fontId="12" fillId="0" borderId="0" xfId="2089" applyNumberFormat="1" applyFont="1" applyFill="1">
      <alignment/>
      <protection/>
    </xf>
    <xf numFmtId="208" fontId="12" fillId="0" borderId="29" xfId="2089" applyNumberFormat="1" applyFont="1" applyFill="1" applyBorder="1">
      <alignment/>
      <protection/>
    </xf>
    <xf numFmtId="39" fontId="12" fillId="0" borderId="0" xfId="2148" applyNumberFormat="1" applyFont="1" applyFill="1">
      <alignment/>
      <protection/>
    </xf>
    <xf numFmtId="208" fontId="12" fillId="0" borderId="28" xfId="2089" applyNumberFormat="1" applyFont="1" applyFill="1" applyBorder="1">
      <alignment/>
      <protection/>
    </xf>
    <xf numFmtId="39" fontId="22" fillId="0" borderId="0" xfId="2148" applyNumberFormat="1" applyFont="1" applyFill="1">
      <alignment/>
      <protection/>
    </xf>
    <xf numFmtId="39" fontId="12" fillId="0" borderId="0" xfId="2148" applyNumberFormat="1" applyFont="1" applyFill="1" applyAlignment="1">
      <alignment horizontal="right"/>
      <protection/>
    </xf>
    <xf numFmtId="39" fontId="12" fillId="0" borderId="27" xfId="2148" applyNumberFormat="1" applyFont="1" applyFill="1" applyBorder="1" applyAlignment="1">
      <alignment horizontal="centerContinuous"/>
      <protection/>
    </xf>
    <xf numFmtId="208" fontId="12" fillId="0" borderId="0" xfId="2148" applyNumberFormat="1" applyFont="1" applyFill="1" applyBorder="1">
      <alignment/>
      <protection/>
    </xf>
    <xf numFmtId="0" fontId="12" fillId="0" borderId="0" xfId="0" applyFont="1" applyFill="1" applyAlignment="1">
      <alignment/>
    </xf>
    <xf numFmtId="39" fontId="2" fillId="0" borderId="0" xfId="0" applyNumberFormat="1" applyFont="1" applyFill="1" applyAlignment="1">
      <alignment horizontal="left" indent="1"/>
    </xf>
    <xf numFmtId="39" fontId="12" fillId="0" borderId="0" xfId="2587" applyNumberFormat="1" applyFont="1" applyFill="1" applyBorder="1" applyAlignment="1" applyProtection="1" quotePrefix="1">
      <alignment horizontal="right"/>
      <protection/>
    </xf>
    <xf numFmtId="0" fontId="12" fillId="0" borderId="0" xfId="2587" applyNumberFormat="1" applyFont="1" applyFill="1" applyBorder="1" applyAlignment="1" applyProtection="1" quotePrefix="1">
      <alignment horizontal="centerContinuous"/>
      <protection/>
    </xf>
    <xf numFmtId="0" fontId="12" fillId="0" borderId="0" xfId="2587" applyNumberFormat="1" applyFont="1" applyFill="1" applyBorder="1" applyAlignment="1" applyProtection="1" quotePrefix="1">
      <alignment horizontal="left"/>
      <protection/>
    </xf>
    <xf numFmtId="0" fontId="19" fillId="0" borderId="0" xfId="1602" applyNumberFormat="1" applyFont="1" applyFill="1" applyAlignment="1">
      <alignment horizontal="right"/>
    </xf>
    <xf numFmtId="0" fontId="12" fillId="0" borderId="0" xfId="1602" applyNumberFormat="1" applyFont="1" applyFill="1" applyBorder="1" applyAlignment="1" applyProtection="1" quotePrefix="1">
      <alignment horizontal="right"/>
      <protection/>
    </xf>
    <xf numFmtId="0" fontId="12" fillId="0" borderId="0" xfId="0" applyNumberFormat="1" applyFont="1" applyFill="1" applyAlignment="1">
      <alignment/>
    </xf>
    <xf numFmtId="9" fontId="12" fillId="0" borderId="0" xfId="2378" applyFont="1" applyFill="1" applyBorder="1" applyAlignment="1" applyProtection="1" quotePrefix="1">
      <alignment horizontal="right"/>
      <protection/>
    </xf>
    <xf numFmtId="39" fontId="12" fillId="0" borderId="0" xfId="2587" applyNumberFormat="1" applyFont="1" applyFill="1" applyBorder="1" applyAlignment="1" applyProtection="1" quotePrefix="1">
      <alignment horizontal="left" indent="2"/>
      <protection/>
    </xf>
    <xf numFmtId="43" fontId="19" fillId="0" borderId="0" xfId="1602" applyNumberFormat="1" applyFont="1" applyFill="1" applyAlignment="1">
      <alignment horizontal="right"/>
    </xf>
    <xf numFmtId="39" fontId="12" fillId="0" borderId="0" xfId="2587" applyNumberFormat="1" applyFont="1" applyFill="1" applyBorder="1" applyAlignment="1" applyProtection="1" quotePrefix="1">
      <alignment horizontal="left" vertical="center" indent="1"/>
      <protection/>
    </xf>
    <xf numFmtId="0" fontId="23" fillId="0" borderId="0" xfId="0" applyFont="1" applyFill="1" applyAlignment="1">
      <alignment/>
    </xf>
    <xf numFmtId="39" fontId="23" fillId="0" borderId="0" xfId="0" applyNumberFormat="1" applyFont="1" applyFill="1" applyAlignment="1">
      <alignment/>
    </xf>
    <xf numFmtId="0" fontId="16" fillId="0" borderId="0" xfId="0" applyFont="1" applyFill="1" applyAlignment="1">
      <alignment horizontal="left"/>
    </xf>
    <xf numFmtId="39" fontId="16" fillId="0" borderId="0" xfId="0" applyNumberFormat="1" applyFont="1" applyFill="1" applyAlignment="1">
      <alignment horizontal="left"/>
    </xf>
    <xf numFmtId="0" fontId="16" fillId="0" borderId="0" xfId="2203" applyNumberFormat="1" applyFont="1" applyFill="1" applyAlignment="1">
      <alignment horizontal="left" vertical="center"/>
      <protection/>
    </xf>
    <xf numFmtId="207" fontId="2" fillId="0" borderId="29" xfId="2587" applyNumberFormat="1" applyFont="1" applyFill="1" applyBorder="1" applyAlignment="1" applyProtection="1" quotePrefix="1">
      <alignment/>
      <protection/>
    </xf>
    <xf numFmtId="39" fontId="16" fillId="0" borderId="0" xfId="0" applyNumberFormat="1" applyFont="1" applyFill="1" applyBorder="1" applyAlignment="1">
      <alignment/>
    </xf>
    <xf numFmtId="43" fontId="20" fillId="0" borderId="0" xfId="1602" applyFont="1" applyFill="1" applyBorder="1" applyAlignment="1">
      <alignment/>
    </xf>
    <xf numFmtId="43" fontId="20" fillId="0" borderId="0" xfId="1602" applyFont="1" applyFill="1" applyAlignment="1">
      <alignment/>
    </xf>
    <xf numFmtId="39" fontId="12" fillId="0" borderId="25" xfId="2089" applyNumberFormat="1" applyFont="1" applyFill="1" applyBorder="1" applyAlignment="1" quotePrefix="1">
      <alignment horizontal="center"/>
      <protection/>
    </xf>
    <xf numFmtId="43" fontId="12" fillId="0" borderId="0" xfId="1620" applyFont="1" applyFill="1" applyBorder="1" applyAlignment="1">
      <alignment horizontal="center"/>
    </xf>
    <xf numFmtId="207" fontId="10" fillId="0" borderId="0" xfId="2205" applyNumberFormat="1" applyFont="1" applyFill="1" applyBorder="1" applyAlignment="1" quotePrefix="1">
      <alignment horizontal="right" vertical="center"/>
      <protection/>
    </xf>
    <xf numFmtId="39" fontId="10" fillId="0" borderId="0" xfId="2587" applyNumberFormat="1" applyFont="1" applyFill="1" applyAlignment="1">
      <alignment horizontal="centerContinuous"/>
      <protection/>
    </xf>
    <xf numFmtId="0" fontId="14" fillId="0" borderId="0" xfId="2089" applyFont="1" applyFill="1" applyAlignment="1">
      <alignment horizontal="centerContinuous"/>
      <protection/>
    </xf>
    <xf numFmtId="0" fontId="14" fillId="0" borderId="0" xfId="2089" applyFont="1" applyFill="1" applyAlignment="1">
      <alignment horizontal="right"/>
      <protection/>
    </xf>
    <xf numFmtId="0" fontId="14" fillId="0" borderId="27" xfId="2089" applyFont="1" applyFill="1" applyBorder="1" applyAlignment="1">
      <alignment horizontal="center"/>
      <protection/>
    </xf>
    <xf numFmtId="0" fontId="14" fillId="0" borderId="29" xfId="2089" applyFont="1" applyFill="1" applyBorder="1" applyAlignment="1">
      <alignment horizontal="center"/>
      <protection/>
    </xf>
    <xf numFmtId="0" fontId="14" fillId="0" borderId="27" xfId="2089" applyFont="1" applyFill="1" applyBorder="1">
      <alignment/>
      <protection/>
    </xf>
    <xf numFmtId="0" fontId="15" fillId="0" borderId="0" xfId="2089" applyFont="1" applyFill="1">
      <alignment/>
      <protection/>
    </xf>
    <xf numFmtId="43" fontId="14" fillId="0" borderId="0" xfId="1618" applyFont="1" applyFill="1" applyBorder="1" applyAlignment="1">
      <alignment horizontal="center"/>
    </xf>
    <xf numFmtId="43" fontId="14" fillId="0" borderId="0" xfId="1618" applyFont="1" applyFill="1" applyAlignment="1">
      <alignment/>
    </xf>
    <xf numFmtId="43" fontId="14" fillId="0" borderId="0" xfId="1618" applyFont="1" applyFill="1" applyAlignment="1">
      <alignment horizontal="center"/>
    </xf>
    <xf numFmtId="10" fontId="14" fillId="0" borderId="0" xfId="2395" applyNumberFormat="1" applyFont="1" applyFill="1" applyBorder="1" applyAlignment="1">
      <alignment horizontal="center"/>
    </xf>
    <xf numFmtId="222" fontId="14" fillId="0" borderId="0" xfId="2395" applyNumberFormat="1" applyFont="1" applyFill="1" applyBorder="1" applyAlignment="1">
      <alignment horizontal="center"/>
    </xf>
    <xf numFmtId="210" fontId="10" fillId="0" borderId="0" xfId="0" applyNumberFormat="1" applyFont="1" applyFill="1" applyAlignment="1">
      <alignment horizontal="left"/>
    </xf>
    <xf numFmtId="39" fontId="18" fillId="0" borderId="0" xfId="2087" applyNumberFormat="1" applyFont="1" applyFill="1" applyAlignment="1">
      <alignment horizontal="right"/>
      <protection/>
    </xf>
    <xf numFmtId="228" fontId="19" fillId="0" borderId="0" xfId="2378" applyNumberFormat="1" applyFont="1" applyFill="1" applyAlignment="1">
      <alignment horizontal="right"/>
    </xf>
    <xf numFmtId="40" fontId="3" fillId="0" borderId="27" xfId="1662" applyNumberFormat="1" applyFont="1" applyFill="1" applyBorder="1" applyAlignment="1">
      <alignment horizontal="centerContinuous"/>
    </xf>
    <xf numFmtId="210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 horizontal="center"/>
    </xf>
    <xf numFmtId="0" fontId="12" fillId="0" borderId="0" xfId="0" applyFont="1" applyFill="1" applyAlignment="1" quotePrefix="1">
      <alignment horizontal="centerContinuous"/>
    </xf>
    <xf numFmtId="0" fontId="12" fillId="0" borderId="0" xfId="0" applyFont="1" applyFill="1" applyAlignment="1" quotePrefix="1">
      <alignment/>
    </xf>
    <xf numFmtId="39" fontId="2" fillId="0" borderId="27" xfId="0" applyNumberFormat="1" applyFont="1" applyFill="1" applyBorder="1" applyAlignment="1">
      <alignment horizontal="center"/>
    </xf>
    <xf numFmtId="229" fontId="2" fillId="0" borderId="0" xfId="1602" applyNumberFormat="1" applyFont="1" applyFill="1" applyAlignment="1">
      <alignment/>
    </xf>
    <xf numFmtId="0" fontId="2" fillId="0" borderId="0" xfId="0" applyFont="1" applyFill="1" applyAlignment="1">
      <alignment horizontal="centerContinuous"/>
    </xf>
    <xf numFmtId="40" fontId="23" fillId="0" borderId="0" xfId="2123" applyNumberFormat="1" applyFont="1" applyFill="1">
      <alignment/>
      <protection/>
    </xf>
    <xf numFmtId="40" fontId="26" fillId="0" borderId="0" xfId="2123" applyNumberFormat="1" applyFont="1" applyFill="1" applyAlignment="1" quotePrefix="1">
      <alignment horizontal="left"/>
      <protection/>
    </xf>
    <xf numFmtId="0" fontId="23" fillId="0" borderId="0" xfId="2123" applyFont="1" applyFill="1">
      <alignment/>
      <protection/>
    </xf>
    <xf numFmtId="39" fontId="3" fillId="0" borderId="0" xfId="0" applyNumberFormat="1" applyFont="1" applyFill="1" applyAlignment="1">
      <alignment horizontal="right" vertical="center"/>
    </xf>
    <xf numFmtId="210" fontId="2" fillId="0" borderId="0" xfId="0" applyNumberFormat="1" applyFont="1" applyFill="1" applyAlignment="1">
      <alignment horizontal="right" vertical="center"/>
    </xf>
    <xf numFmtId="210" fontId="14" fillId="0" borderId="0" xfId="2587" applyNumberFormat="1" applyFont="1" applyFill="1" applyAlignment="1">
      <alignment horizontal="center"/>
      <protection/>
    </xf>
    <xf numFmtId="210" fontId="14" fillId="0" borderId="0" xfId="0" applyNumberFormat="1" applyFont="1" applyFill="1" applyAlignment="1">
      <alignment/>
    </xf>
    <xf numFmtId="210" fontId="23" fillId="0" borderId="0" xfId="2587" applyNumberFormat="1" applyFont="1" applyFill="1" applyAlignment="1">
      <alignment horizontal="center"/>
      <protection/>
    </xf>
    <xf numFmtId="210" fontId="23" fillId="0" borderId="0" xfId="0" applyNumberFormat="1" applyFont="1" applyFill="1" applyAlignment="1">
      <alignment/>
    </xf>
    <xf numFmtId="210" fontId="23" fillId="0" borderId="0" xfId="2587" applyNumberFormat="1" applyFont="1" applyFill="1" applyAlignment="1">
      <alignment/>
      <protection/>
    </xf>
    <xf numFmtId="210" fontId="23" fillId="0" borderId="0" xfId="0" applyNumberFormat="1" applyFont="1" applyFill="1" applyAlignment="1">
      <alignment/>
    </xf>
    <xf numFmtId="223" fontId="16" fillId="0" borderId="0" xfId="1602" applyNumberFormat="1" applyFont="1" applyFill="1" applyBorder="1" applyAlignment="1">
      <alignment/>
    </xf>
    <xf numFmtId="223" fontId="16" fillId="0" borderId="28" xfId="1602" applyNumberFormat="1" applyFont="1" applyFill="1" applyBorder="1" applyAlignment="1">
      <alignment/>
    </xf>
    <xf numFmtId="0" fontId="14" fillId="0" borderId="0" xfId="2089" applyFont="1" applyFill="1" applyAlignment="1">
      <alignment vertical="top"/>
      <protection/>
    </xf>
    <xf numFmtId="43" fontId="14" fillId="0" borderId="0" xfId="1618" applyFont="1" applyFill="1" applyBorder="1" applyAlignment="1">
      <alignment horizontal="center" vertical="top"/>
    </xf>
    <xf numFmtId="0" fontId="14" fillId="0" borderId="0" xfId="2089" applyFont="1" applyFill="1" applyBorder="1" applyAlignment="1">
      <alignment horizontal="center"/>
      <protection/>
    </xf>
    <xf numFmtId="0" fontId="14" fillId="0" borderId="0" xfId="2089" applyFont="1" applyFill="1" applyBorder="1">
      <alignment/>
      <protection/>
    </xf>
    <xf numFmtId="0" fontId="14" fillId="0" borderId="29" xfId="2089" applyFont="1" applyFill="1" applyBorder="1" applyAlignment="1">
      <alignment horizontal="centerContinuous"/>
      <protection/>
    </xf>
    <xf numFmtId="0" fontId="14" fillId="0" borderId="27" xfId="2089" applyFont="1" applyFill="1" applyBorder="1" applyAlignment="1">
      <alignment horizontal="centerContinuous"/>
      <protection/>
    </xf>
    <xf numFmtId="10" fontId="14" fillId="0" borderId="0" xfId="2395" applyNumberFormat="1" applyFont="1" applyFill="1" applyBorder="1" applyAlignment="1">
      <alignment horizontal="centerContinuous"/>
    </xf>
    <xf numFmtId="43" fontId="2" fillId="0" borderId="0" xfId="1620" applyFont="1" applyFill="1" applyBorder="1" applyAlignment="1">
      <alignment horizontal="center" vertical="center"/>
    </xf>
    <xf numFmtId="43" fontId="20" fillId="0" borderId="0" xfId="1602" applyFont="1" applyFill="1" applyBorder="1" applyAlignment="1">
      <alignment horizontal="right"/>
    </xf>
    <xf numFmtId="224" fontId="20" fillId="0" borderId="0" xfId="1602" applyNumberFormat="1" applyFont="1" applyFill="1" applyBorder="1" applyAlignment="1">
      <alignment horizontal="right"/>
    </xf>
    <xf numFmtId="43" fontId="20" fillId="0" borderId="0" xfId="1602" applyFont="1" applyFill="1" applyBorder="1" applyAlignment="1" quotePrefix="1">
      <alignment/>
    </xf>
    <xf numFmtId="43" fontId="20" fillId="0" borderId="0" xfId="1602" applyFont="1" applyFill="1" applyAlignment="1" quotePrefix="1">
      <alignment/>
    </xf>
    <xf numFmtId="43" fontId="20" fillId="0" borderId="0" xfId="1602" applyFont="1" applyFill="1" applyAlignment="1">
      <alignment horizontal="center"/>
    </xf>
    <xf numFmtId="215" fontId="12" fillId="0" borderId="0" xfId="2207" applyNumberFormat="1" applyFont="1" applyFill="1" applyBorder="1" applyAlignment="1">
      <alignment vertical="center"/>
      <protection/>
    </xf>
    <xf numFmtId="219" fontId="2" fillId="0" borderId="0" xfId="1605" applyNumberFormat="1" applyFont="1" applyFill="1" applyBorder="1" applyAlignment="1">
      <alignment/>
    </xf>
    <xf numFmtId="226" fontId="10" fillId="0" borderId="0" xfId="0" applyNumberFormat="1" applyFont="1" applyFill="1" applyBorder="1" applyAlignment="1">
      <alignment horizontal="right"/>
    </xf>
    <xf numFmtId="208" fontId="12" fillId="0" borderId="30" xfId="2089" applyNumberFormat="1" applyFont="1" applyFill="1" applyBorder="1">
      <alignment/>
      <protection/>
    </xf>
    <xf numFmtId="0" fontId="2" fillId="0" borderId="0" xfId="2575" applyFont="1" applyFill="1" applyBorder="1">
      <alignment/>
      <protection/>
    </xf>
    <xf numFmtId="223" fontId="16" fillId="0" borderId="0" xfId="2540" applyNumberFormat="1" applyFont="1" applyFill="1" applyBorder="1" applyAlignment="1">
      <alignment/>
    </xf>
    <xf numFmtId="0" fontId="10" fillId="0" borderId="0" xfId="2089" applyFont="1" applyFill="1">
      <alignment/>
      <protection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 quotePrefix="1">
      <alignment/>
    </xf>
    <xf numFmtId="210" fontId="10" fillId="0" borderId="0" xfId="2587" applyNumberFormat="1" applyFont="1" applyFill="1" applyAlignment="1">
      <alignment horizontal="center"/>
      <protection/>
    </xf>
    <xf numFmtId="210" fontId="10" fillId="0" borderId="0" xfId="1605" applyNumberFormat="1" applyFont="1" applyFill="1" applyAlignment="1">
      <alignment/>
    </xf>
    <xf numFmtId="210" fontId="10" fillId="0" borderId="0" xfId="2587" applyNumberFormat="1" applyFont="1" applyFill="1" applyAlignment="1">
      <alignment/>
      <protection/>
    </xf>
    <xf numFmtId="210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210" fontId="11" fillId="0" borderId="0" xfId="2587" applyNumberFormat="1" applyFont="1" applyFill="1" applyAlignment="1" applyProtection="1">
      <alignment/>
      <protection/>
    </xf>
    <xf numFmtId="39" fontId="10" fillId="0" borderId="0" xfId="1609" applyNumberFormat="1" applyFont="1" applyFill="1" applyAlignment="1">
      <alignment/>
    </xf>
    <xf numFmtId="0" fontId="10" fillId="0" borderId="0" xfId="0" applyFont="1" applyFill="1" applyAlignment="1" quotePrefix="1">
      <alignment horizontal="left"/>
    </xf>
    <xf numFmtId="39" fontId="16" fillId="0" borderId="0" xfId="2587" applyNumberFormat="1" applyFont="1" applyFill="1" applyAlignment="1" applyProtection="1">
      <alignment horizontal="left"/>
      <protection/>
    </xf>
    <xf numFmtId="39" fontId="18" fillId="0" borderId="0" xfId="2587" applyNumberFormat="1" applyFont="1" applyFill="1" applyAlignment="1" applyProtection="1">
      <alignment/>
      <protection/>
    </xf>
    <xf numFmtId="210" fontId="23" fillId="0" borderId="0" xfId="0" applyNumberFormat="1" applyFont="1" applyFill="1" applyAlignment="1" quotePrefix="1">
      <alignment horizontal="centerContinuous"/>
    </xf>
    <xf numFmtId="0" fontId="26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/>
    </xf>
    <xf numFmtId="210" fontId="23" fillId="0" borderId="0" xfId="1618" applyNumberFormat="1" applyFont="1" applyFill="1" applyAlignment="1">
      <alignment/>
    </xf>
    <xf numFmtId="210" fontId="23" fillId="0" borderId="0" xfId="0" applyNumberFormat="1" applyFont="1" applyFill="1" applyBorder="1" applyAlignment="1">
      <alignment horizontal="center"/>
    </xf>
    <xf numFmtId="210" fontId="23" fillId="0" borderId="0" xfId="0" applyNumberFormat="1" applyFont="1" applyFill="1" applyAlignment="1">
      <alignment horizontal="center"/>
    </xf>
    <xf numFmtId="40" fontId="26" fillId="0" borderId="0" xfId="0" applyNumberFormat="1" applyFont="1" applyFill="1" applyAlignment="1" quotePrefix="1">
      <alignment horizontal="center"/>
    </xf>
    <xf numFmtId="40" fontId="26" fillId="0" borderId="0" xfId="0" applyNumberFormat="1" applyFont="1" applyFill="1" applyAlignment="1">
      <alignment horizontal="center"/>
    </xf>
    <xf numFmtId="210" fontId="26" fillId="0" borderId="0" xfId="0" applyNumberFormat="1" applyFont="1" applyFill="1" applyAlignment="1">
      <alignment horizontal="center"/>
    </xf>
    <xf numFmtId="210" fontId="23" fillId="0" borderId="0" xfId="0" applyNumberFormat="1" applyFont="1" applyFill="1" applyBorder="1" applyAlignment="1" quotePrefix="1">
      <alignment horizontal="center"/>
    </xf>
    <xf numFmtId="210" fontId="23" fillId="0" borderId="0" xfId="0" applyNumberFormat="1" applyFont="1" applyFill="1" applyBorder="1" applyAlignment="1">
      <alignment/>
    </xf>
    <xf numFmtId="43" fontId="23" fillId="0" borderId="0" xfId="1602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43" fontId="23" fillId="0" borderId="0" xfId="1618" applyFont="1" applyFill="1" applyBorder="1" applyAlignment="1">
      <alignment horizontal="right"/>
    </xf>
    <xf numFmtId="43" fontId="23" fillId="0" borderId="0" xfId="1618" applyFont="1" applyFill="1" applyAlignment="1">
      <alignment horizontal="right"/>
    </xf>
    <xf numFmtId="0" fontId="23" fillId="0" borderId="0" xfId="2087" applyFont="1" applyFill="1" applyBorder="1" applyAlignment="1">
      <alignment horizontal="center"/>
      <protection/>
    </xf>
    <xf numFmtId="210" fontId="23" fillId="0" borderId="0" xfId="0" applyNumberFormat="1" applyFont="1" applyFill="1" applyAlignment="1" quotePrefix="1">
      <alignment horizontal="center"/>
    </xf>
    <xf numFmtId="0" fontId="23" fillId="0" borderId="0" xfId="2087" applyFont="1" applyFill="1" applyBorder="1">
      <alignment/>
      <protection/>
    </xf>
    <xf numFmtId="210" fontId="23" fillId="0" borderId="0" xfId="0" applyNumberFormat="1" applyFont="1" applyFill="1" applyAlignment="1">
      <alignment horizontal="centerContinuous"/>
    </xf>
    <xf numFmtId="210" fontId="23" fillId="0" borderId="28" xfId="0" applyNumberFormat="1" applyFont="1" applyFill="1" applyBorder="1" applyAlignment="1">
      <alignment/>
    </xf>
    <xf numFmtId="210" fontId="26" fillId="0" borderId="0" xfId="0" applyNumberFormat="1" applyFont="1" applyFill="1" applyAlignment="1">
      <alignment/>
    </xf>
    <xf numFmtId="43" fontId="23" fillId="0" borderId="0" xfId="1618" applyFont="1" applyFill="1" applyAlignment="1">
      <alignment horizontal="center"/>
    </xf>
    <xf numFmtId="43" fontId="23" fillId="0" borderId="0" xfId="1618" applyFont="1" applyFill="1" applyAlignment="1">
      <alignment/>
    </xf>
    <xf numFmtId="0" fontId="23" fillId="0" borderId="0" xfId="2194" applyFont="1" applyFill="1" applyBorder="1" applyAlignment="1">
      <alignment horizontal="center"/>
      <protection/>
    </xf>
    <xf numFmtId="210" fontId="23" fillId="0" borderId="0" xfId="2194" applyNumberFormat="1" applyFont="1" applyFill="1" applyBorder="1">
      <alignment/>
      <protection/>
    </xf>
    <xf numFmtId="0" fontId="23" fillId="0" borderId="0" xfId="0" applyFont="1" applyFill="1" applyAlignment="1" quotePrefix="1">
      <alignment horizontal="center"/>
    </xf>
    <xf numFmtId="210" fontId="23" fillId="0" borderId="0" xfId="0" applyNumberFormat="1" applyFont="1" applyFill="1" applyBorder="1" applyAlignment="1">
      <alignment horizontal="center" vertical="center"/>
    </xf>
    <xf numFmtId="43" fontId="23" fillId="0" borderId="0" xfId="1602" applyFont="1" applyFill="1" applyAlignment="1">
      <alignment/>
    </xf>
    <xf numFmtId="0" fontId="23" fillId="0" borderId="0" xfId="0" applyFont="1" applyFill="1" applyBorder="1" applyAlignment="1">
      <alignment vertical="center"/>
    </xf>
    <xf numFmtId="0" fontId="23" fillId="0" borderId="0" xfId="2194" applyFont="1" applyFill="1" applyBorder="1" applyAlignment="1">
      <alignment vertical="center"/>
      <protection/>
    </xf>
    <xf numFmtId="43" fontId="23" fillId="0" borderId="0" xfId="0" applyNumberFormat="1" applyFont="1" applyFill="1" applyBorder="1" applyAlignment="1">
      <alignment/>
    </xf>
    <xf numFmtId="210" fontId="23" fillId="0" borderId="0" xfId="0" applyNumberFormat="1" applyFont="1" applyFill="1" applyBorder="1" applyAlignment="1">
      <alignment vertical="center"/>
    </xf>
    <xf numFmtId="43" fontId="23" fillId="0" borderId="0" xfId="1602" applyFont="1" applyFill="1" applyBorder="1" applyAlignment="1">
      <alignment vertical="center"/>
    </xf>
    <xf numFmtId="210" fontId="23" fillId="0" borderId="0" xfId="1634" applyNumberFormat="1" applyFont="1" applyFill="1" applyBorder="1" applyAlignment="1">
      <alignment vertical="center"/>
    </xf>
    <xf numFmtId="210" fontId="23" fillId="0" borderId="0" xfId="2194" applyNumberFormat="1" applyFont="1" applyFill="1" applyBorder="1" applyAlignment="1">
      <alignment horizontal="centerContinuous" vertical="center"/>
      <protection/>
    </xf>
    <xf numFmtId="0" fontId="23" fillId="0" borderId="0" xfId="2194" applyFont="1" applyFill="1" applyBorder="1" applyAlignment="1">
      <alignment horizontal="centerContinuous" vertical="center"/>
      <protection/>
    </xf>
    <xf numFmtId="0" fontId="12" fillId="0" borderId="0" xfId="2087" applyFont="1" applyFill="1">
      <alignment/>
      <protection/>
    </xf>
    <xf numFmtId="207" fontId="21" fillId="0" borderId="29" xfId="2205" applyNumberFormat="1" applyFont="1" applyFill="1" applyBorder="1" applyAlignment="1">
      <alignment horizontal="center"/>
      <protection/>
    </xf>
    <xf numFmtId="39" fontId="18" fillId="0" borderId="0" xfId="2587" applyNumberFormat="1" applyFont="1" applyFill="1" applyAlignment="1" applyProtection="1">
      <alignment horizontal="centerContinuous"/>
      <protection/>
    </xf>
    <xf numFmtId="39" fontId="18" fillId="0" borderId="0" xfId="0" applyNumberFormat="1" applyFont="1" applyFill="1" applyAlignment="1">
      <alignment horizontal="centerContinuous"/>
    </xf>
    <xf numFmtId="39" fontId="18" fillId="0" borderId="0" xfId="0" applyNumberFormat="1" applyFont="1" applyFill="1" applyAlignment="1">
      <alignment/>
    </xf>
    <xf numFmtId="0" fontId="10" fillId="0" borderId="0" xfId="2204" applyNumberFormat="1" applyFont="1" applyFill="1" applyBorder="1" applyAlignment="1">
      <alignment horizontal="center"/>
      <protection/>
    </xf>
    <xf numFmtId="0" fontId="10" fillId="0" borderId="0" xfId="2089" applyFont="1" applyFill="1" applyBorder="1" applyAlignment="1">
      <alignment/>
      <protection/>
    </xf>
    <xf numFmtId="0" fontId="10" fillId="0" borderId="0" xfId="2067" applyFont="1" applyFill="1" applyBorder="1" applyAlignment="1">
      <alignment/>
      <protection/>
    </xf>
    <xf numFmtId="210" fontId="16" fillId="0" borderId="0" xfId="2587" applyNumberFormat="1" applyFont="1" applyFill="1" applyAlignment="1">
      <alignment/>
      <protection/>
    </xf>
    <xf numFmtId="0" fontId="10" fillId="0" borderId="0" xfId="2067" applyNumberFormat="1" applyFont="1" applyFill="1" applyBorder="1" applyAlignment="1">
      <alignment/>
      <protection/>
    </xf>
    <xf numFmtId="39" fontId="10" fillId="0" borderId="0" xfId="2590" applyNumberFormat="1" applyFont="1" applyFill="1" applyBorder="1" applyAlignment="1">
      <alignment/>
      <protection/>
    </xf>
    <xf numFmtId="39" fontId="10" fillId="0" borderId="0" xfId="2067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0" fontId="10" fillId="0" borderId="0" xfId="2067" applyFont="1" applyFill="1" applyBorder="1" applyAlignment="1">
      <alignment horizontal="centerContinuous"/>
      <protection/>
    </xf>
    <xf numFmtId="39" fontId="10" fillId="0" borderId="0" xfId="2590" applyNumberFormat="1" applyFont="1" applyFill="1" applyBorder="1" applyAlignment="1">
      <alignment horizontal="centerContinuous"/>
      <protection/>
    </xf>
    <xf numFmtId="39" fontId="10" fillId="0" borderId="0" xfId="2067" applyNumberFormat="1" applyFont="1" applyFill="1" applyBorder="1" applyAlignment="1">
      <alignment horizontal="centerContinuous"/>
      <protection/>
    </xf>
    <xf numFmtId="39" fontId="16" fillId="0" borderId="0" xfId="2560" applyNumberFormat="1" applyFont="1" applyFill="1" applyBorder="1" applyAlignment="1" applyProtection="1">
      <alignment/>
      <protection/>
    </xf>
    <xf numFmtId="0" fontId="16" fillId="0" borderId="0" xfId="0" applyFont="1" applyFill="1" applyAlignment="1" quotePrefix="1">
      <alignment horizontal="left"/>
    </xf>
    <xf numFmtId="39" fontId="10" fillId="0" borderId="0" xfId="2590" applyNumberFormat="1" applyFont="1" applyFill="1" applyAlignment="1" applyProtection="1">
      <alignment horizontal="left"/>
      <protection/>
    </xf>
    <xf numFmtId="0" fontId="10" fillId="0" borderId="0" xfId="2067" applyFont="1" applyFill="1" applyAlignment="1">
      <alignment/>
      <protection/>
    </xf>
    <xf numFmtId="39" fontId="10" fillId="0" borderId="0" xfId="2590" applyNumberFormat="1" applyFont="1" applyFill="1" applyAlignment="1">
      <alignment/>
      <protection/>
    </xf>
    <xf numFmtId="39" fontId="10" fillId="0" borderId="0" xfId="2067" applyNumberFormat="1" applyFont="1" applyFill="1" applyAlignment="1">
      <alignment/>
      <protection/>
    </xf>
    <xf numFmtId="0" fontId="10" fillId="0" borderId="0" xfId="2067" applyNumberFormat="1" applyFont="1" applyFill="1" applyAlignment="1">
      <alignment/>
      <protection/>
    </xf>
    <xf numFmtId="39" fontId="11" fillId="0" borderId="0" xfId="2067" applyNumberFormat="1" applyFont="1" applyFill="1" applyBorder="1" applyAlignment="1">
      <alignment/>
      <protection/>
    </xf>
    <xf numFmtId="39" fontId="11" fillId="0" borderId="0" xfId="2590" applyNumberFormat="1" applyFont="1" applyFill="1" applyBorder="1" applyAlignment="1">
      <alignment horizontal="centerContinuous" vertical="center"/>
      <protection/>
    </xf>
    <xf numFmtId="39" fontId="10" fillId="0" borderId="0" xfId="2590" applyNumberFormat="1" applyFont="1" applyFill="1" applyBorder="1" applyAlignment="1">
      <alignment horizontal="centerContinuous" vertical="center"/>
      <protection/>
    </xf>
    <xf numFmtId="39" fontId="10" fillId="0" borderId="27" xfId="2590" applyNumberFormat="1" applyFont="1" applyFill="1" applyBorder="1" applyAlignment="1">
      <alignment horizontal="centerContinuous"/>
      <protection/>
    </xf>
    <xf numFmtId="39" fontId="11" fillId="0" borderId="0" xfId="2067" applyNumberFormat="1" applyFont="1" applyFill="1" applyBorder="1" applyAlignment="1">
      <alignment horizontal="centerContinuous" vertical="center"/>
      <protection/>
    </xf>
    <xf numFmtId="39" fontId="11" fillId="0" borderId="0" xfId="2590" applyNumberFormat="1" applyFont="1" applyFill="1" applyBorder="1" applyAlignment="1">
      <alignment horizontal="center"/>
      <protection/>
    </xf>
    <xf numFmtId="215" fontId="11" fillId="0" borderId="25" xfId="2067" applyNumberFormat="1" applyFont="1" applyFill="1" applyBorder="1" applyAlignment="1" quotePrefix="1">
      <alignment horizontal="center"/>
      <protection/>
    </xf>
    <xf numFmtId="215" fontId="10" fillId="0" borderId="0" xfId="2067" applyNumberFormat="1" applyFont="1" applyFill="1" applyBorder="1" applyAlignment="1" quotePrefix="1">
      <alignment horizontal="center"/>
      <protection/>
    </xf>
    <xf numFmtId="39" fontId="28" fillId="0" borderId="0" xfId="2590" applyNumberFormat="1" applyFont="1" applyFill="1" applyAlignment="1">
      <alignment horizontal="center"/>
      <protection/>
    </xf>
    <xf numFmtId="39" fontId="10" fillId="0" borderId="0" xfId="2590" applyNumberFormat="1" applyFont="1" applyFill="1" applyAlignment="1">
      <alignment horizontal="left"/>
      <protection/>
    </xf>
    <xf numFmtId="39" fontId="10" fillId="0" borderId="0" xfId="2590" applyNumberFormat="1" applyFont="1" applyFill="1" applyAlignment="1">
      <alignment horizontal="center"/>
      <protection/>
    </xf>
    <xf numFmtId="223" fontId="16" fillId="0" borderId="0" xfId="1641" applyNumberFormat="1" applyFont="1" applyFill="1" applyBorder="1" applyAlignment="1">
      <alignment vertical="center"/>
    </xf>
    <xf numFmtId="37" fontId="10" fillId="0" borderId="0" xfId="2590" applyNumberFormat="1" applyFont="1" applyFill="1" applyAlignment="1" quotePrefix="1">
      <alignment horizontal="center"/>
      <protection/>
    </xf>
    <xf numFmtId="0" fontId="10" fillId="0" borderId="0" xfId="2067" applyNumberFormat="1" applyFont="1" applyFill="1" applyAlignment="1">
      <alignment horizontal="left"/>
      <protection/>
    </xf>
    <xf numFmtId="39" fontId="10" fillId="0" borderId="0" xfId="2588" applyNumberFormat="1" applyFont="1" applyFill="1" applyBorder="1" applyAlignment="1">
      <alignment/>
      <protection/>
    </xf>
    <xf numFmtId="39" fontId="10" fillId="0" borderId="0" xfId="2588" applyNumberFormat="1" applyFont="1" applyFill="1" applyBorder="1" applyAlignment="1">
      <alignment horizontal="center"/>
      <protection/>
    </xf>
    <xf numFmtId="39" fontId="10" fillId="0" borderId="0" xfId="2588" applyFont="1" applyFill="1" applyAlignment="1">
      <alignment horizontal="center"/>
      <protection/>
    </xf>
    <xf numFmtId="40" fontId="10" fillId="0" borderId="0" xfId="2067" applyNumberFormat="1" applyFont="1" applyFill="1" applyAlignment="1">
      <alignment/>
      <protection/>
    </xf>
    <xf numFmtId="39" fontId="10" fillId="0" borderId="0" xfId="2590" applyNumberFormat="1" applyFont="1" applyFill="1" applyAlignment="1" applyProtection="1">
      <alignment/>
      <protection/>
    </xf>
    <xf numFmtId="39" fontId="10" fillId="0" borderId="0" xfId="2089" applyNumberFormat="1" applyFont="1" applyFill="1">
      <alignment/>
      <protection/>
    </xf>
    <xf numFmtId="43" fontId="10" fillId="0" borderId="0" xfId="1602" applyFont="1" applyFill="1" applyAlignment="1">
      <alignment/>
    </xf>
    <xf numFmtId="0" fontId="10" fillId="0" borderId="0" xfId="2067" applyNumberFormat="1" applyFont="1" applyFill="1" applyBorder="1" applyAlignment="1">
      <alignment horizontal="left"/>
      <protection/>
    </xf>
    <xf numFmtId="0" fontId="10" fillId="0" borderId="0" xfId="2067" applyFont="1" applyFill="1" applyBorder="1" applyAlignment="1">
      <alignment wrapText="1"/>
      <protection/>
    </xf>
    <xf numFmtId="0" fontId="101" fillId="0" borderId="0" xfId="0" applyFont="1" applyFill="1" applyAlignment="1">
      <alignment/>
    </xf>
    <xf numFmtId="0" fontId="101" fillId="0" borderId="0" xfId="0" applyFont="1" applyFill="1" applyAlignment="1">
      <alignment horizontal="left"/>
    </xf>
    <xf numFmtId="40" fontId="10" fillId="0" borderId="0" xfId="2067" applyNumberFormat="1" applyFont="1" applyFill="1" applyBorder="1" applyAlignment="1">
      <alignment/>
      <protection/>
    </xf>
    <xf numFmtId="40" fontId="10" fillId="0" borderId="0" xfId="2067" applyNumberFormat="1" applyFont="1" applyFill="1" applyBorder="1" applyAlignment="1">
      <alignment horizontal="center"/>
      <protection/>
    </xf>
    <xf numFmtId="38" fontId="10" fillId="0" borderId="0" xfId="2067" applyNumberFormat="1" applyFont="1" applyFill="1" applyBorder="1" applyAlignment="1">
      <alignment horizontal="center"/>
      <protection/>
    </xf>
    <xf numFmtId="39" fontId="10" fillId="0" borderId="0" xfId="2089" applyNumberFormat="1" applyFont="1" applyFill="1" applyAlignment="1">
      <alignment/>
      <protection/>
    </xf>
    <xf numFmtId="43" fontId="10" fillId="0" borderId="0" xfId="1602" applyFont="1" applyFill="1" applyAlignment="1">
      <alignment/>
    </xf>
    <xf numFmtId="39" fontId="10" fillId="0" borderId="0" xfId="2590" applyNumberFormat="1" applyFont="1" applyFill="1" applyAlignment="1">
      <alignment horizontal="right"/>
      <protection/>
    </xf>
    <xf numFmtId="39" fontId="10" fillId="0" borderId="0" xfId="2589" applyFont="1" applyFill="1" applyAlignment="1" applyProtection="1">
      <alignment horizontal="left"/>
      <protection/>
    </xf>
    <xf numFmtId="39" fontId="10" fillId="0" borderId="0" xfId="2589" applyFont="1" applyFill="1">
      <alignment/>
      <protection/>
    </xf>
    <xf numFmtId="39" fontId="10" fillId="0" borderId="0" xfId="2089" applyNumberFormat="1" applyFont="1" applyFill="1" applyAlignment="1">
      <alignment horizontal="right"/>
      <protection/>
    </xf>
    <xf numFmtId="40" fontId="10" fillId="0" borderId="0" xfId="2067" applyNumberFormat="1" applyFont="1" applyFill="1" applyBorder="1" applyAlignment="1">
      <alignment horizontal="left"/>
      <protection/>
    </xf>
    <xf numFmtId="40" fontId="28" fillId="0" borderId="0" xfId="2067" applyNumberFormat="1" applyFont="1" applyFill="1" applyBorder="1" applyAlignment="1">
      <alignment horizontal="center"/>
      <protection/>
    </xf>
    <xf numFmtId="227" fontId="10" fillId="0" borderId="0" xfId="1641" applyNumberFormat="1" applyFont="1" applyFill="1" applyBorder="1" applyAlignment="1">
      <alignment/>
    </xf>
    <xf numFmtId="227" fontId="10" fillId="0" borderId="29" xfId="1641" applyNumberFormat="1" applyFont="1" applyFill="1" applyBorder="1" applyAlignment="1">
      <alignment/>
    </xf>
    <xf numFmtId="227" fontId="10" fillId="0" borderId="27" xfId="1641" applyNumberFormat="1" applyFont="1" applyFill="1" applyBorder="1" applyAlignment="1">
      <alignment/>
    </xf>
    <xf numFmtId="227" fontId="10" fillId="0" borderId="28" xfId="1641" applyNumberFormat="1" applyFont="1" applyFill="1" applyBorder="1" applyAlignment="1">
      <alignment/>
    </xf>
    <xf numFmtId="227" fontId="10" fillId="0" borderId="26" xfId="1641" applyNumberFormat="1" applyFont="1" applyFill="1" applyBorder="1" applyAlignment="1">
      <alignment/>
    </xf>
    <xf numFmtId="40" fontId="10" fillId="0" borderId="27" xfId="2067" applyNumberFormat="1" applyFont="1" applyFill="1" applyBorder="1" applyAlignment="1">
      <alignment horizontal="centerContinuous"/>
      <protection/>
    </xf>
    <xf numFmtId="40" fontId="10" fillId="0" borderId="27" xfId="2067" applyNumberFormat="1" applyFont="1" applyFill="1" applyBorder="1" applyAlignment="1">
      <alignment horizontal="center"/>
      <protection/>
    </xf>
    <xf numFmtId="40" fontId="10" fillId="0" borderId="27" xfId="2067" applyNumberFormat="1" applyFont="1" applyFill="1" applyBorder="1" applyAlignment="1">
      <alignment/>
      <protection/>
    </xf>
    <xf numFmtId="40" fontId="10" fillId="0" borderId="0" xfId="2067" applyNumberFormat="1" applyFont="1" applyFill="1" applyBorder="1" applyAlignment="1">
      <alignment horizontal="centerContinuous"/>
      <protection/>
    </xf>
    <xf numFmtId="40" fontId="10" fillId="0" borderId="0" xfId="2067" applyNumberFormat="1" applyFont="1" applyFill="1" applyBorder="1" applyAlignment="1">
      <alignment horizontal="right"/>
      <protection/>
    </xf>
    <xf numFmtId="210" fontId="10" fillId="0" borderId="0" xfId="2590" applyNumberFormat="1" applyFont="1" applyFill="1" applyAlignment="1" applyProtection="1" quotePrefix="1">
      <alignment horizontal="centerContinuous" vertical="center"/>
      <protection/>
    </xf>
    <xf numFmtId="39" fontId="16" fillId="0" borderId="0" xfId="2067" applyNumberFormat="1" applyFont="1" applyFill="1" applyAlignment="1">
      <alignment horizontal="centerContinuous"/>
      <protection/>
    </xf>
    <xf numFmtId="39" fontId="11" fillId="0" borderId="0" xfId="2590" applyNumberFormat="1" applyFont="1" applyFill="1" applyAlignment="1" applyProtection="1">
      <alignment/>
      <protection/>
    </xf>
    <xf numFmtId="39" fontId="16" fillId="0" borderId="0" xfId="2067" applyNumberFormat="1" applyFont="1" applyFill="1" applyAlignment="1">
      <alignment vertical="center"/>
      <protection/>
    </xf>
    <xf numFmtId="39" fontId="11" fillId="0" borderId="0" xfId="2089" applyNumberFormat="1" applyFont="1" applyFill="1" applyAlignment="1">
      <alignment horizontal="right"/>
      <protection/>
    </xf>
    <xf numFmtId="243" fontId="11" fillId="0" borderId="0" xfId="2587" applyNumberFormat="1" applyFont="1" applyFill="1" applyAlignment="1" applyProtection="1">
      <alignment horizontal="center"/>
      <protection/>
    </xf>
    <xf numFmtId="199" fontId="11" fillId="0" borderId="0" xfId="2587" applyNumberFormat="1" applyFont="1" applyFill="1" applyAlignment="1" applyProtection="1">
      <alignment horizontal="center"/>
      <protection/>
    </xf>
    <xf numFmtId="199" fontId="10" fillId="0" borderId="0" xfId="2587" applyNumberFormat="1" applyFont="1" applyFill="1" applyAlignment="1" applyProtection="1">
      <alignment horizontal="center"/>
      <protection/>
    </xf>
    <xf numFmtId="39" fontId="2" fillId="0" borderId="0" xfId="2148" applyNumberFormat="1" applyFont="1" applyFill="1" applyAlignment="1">
      <alignment vertical="center"/>
      <protection/>
    </xf>
    <xf numFmtId="39" fontId="3" fillId="0" borderId="0" xfId="2587" applyNumberFormat="1" applyFont="1" applyFill="1" applyBorder="1" applyAlignment="1" applyProtection="1">
      <alignment horizontal="centerContinuous" vertical="center"/>
      <protection/>
    </xf>
    <xf numFmtId="39" fontId="3" fillId="0" borderId="0" xfId="2148" applyNumberFormat="1" applyFont="1" applyFill="1" applyAlignment="1">
      <alignment horizontal="center" vertical="center"/>
      <protection/>
    </xf>
    <xf numFmtId="39" fontId="11" fillId="0" borderId="0" xfId="2148" applyNumberFormat="1" applyFont="1" applyFill="1" applyAlignment="1">
      <alignment horizontal="centerContinuous"/>
      <protection/>
    </xf>
    <xf numFmtId="39" fontId="3" fillId="0" borderId="0" xfId="2148" applyNumberFormat="1" applyFont="1" applyFill="1" applyAlignment="1">
      <alignment horizontal="centerContinuous" vertical="center"/>
      <protection/>
    </xf>
    <xf numFmtId="199" fontId="11" fillId="0" borderId="27" xfId="2587" applyNumberFormat="1" applyFont="1" applyFill="1" applyBorder="1" applyAlignment="1" applyProtection="1">
      <alignment horizontal="center"/>
      <protection/>
    </xf>
    <xf numFmtId="199" fontId="11" fillId="0" borderId="27" xfId="2587" applyNumberFormat="1" applyFont="1" applyFill="1" applyBorder="1" applyAlignment="1" applyProtection="1">
      <alignment horizontal="centerContinuous"/>
      <protection/>
    </xf>
    <xf numFmtId="39" fontId="3" fillId="0" borderId="27" xfId="2587" applyNumberFormat="1" applyFont="1" applyFill="1" applyBorder="1" applyAlignment="1" applyProtection="1">
      <alignment horizontal="centerContinuous" vertical="center"/>
      <protection/>
    </xf>
    <xf numFmtId="39" fontId="3" fillId="0" borderId="27" xfId="2148" applyNumberFormat="1" applyFont="1" applyFill="1" applyBorder="1" applyAlignment="1">
      <alignment vertical="center"/>
      <protection/>
    </xf>
    <xf numFmtId="39" fontId="11" fillId="0" borderId="0" xfId="2089" applyNumberFormat="1" applyFont="1" applyFill="1" applyAlignment="1" quotePrefix="1">
      <alignment horizontal="center"/>
      <protection/>
    </xf>
    <xf numFmtId="39" fontId="11" fillId="0" borderId="0" xfId="2089" applyNumberFormat="1" applyFont="1" applyFill="1" applyAlignment="1">
      <alignment horizontal="center"/>
      <protection/>
    </xf>
    <xf numFmtId="230" fontId="10" fillId="0" borderId="0" xfId="1603" applyNumberFormat="1" applyFont="1" applyFill="1" applyBorder="1" applyAlignment="1">
      <alignment/>
    </xf>
    <xf numFmtId="223" fontId="16" fillId="0" borderId="27" xfId="1602" applyNumberFormat="1" applyFont="1" applyFill="1" applyBorder="1" applyAlignment="1">
      <alignment vertical="center"/>
    </xf>
    <xf numFmtId="230" fontId="10" fillId="0" borderId="0" xfId="1603" applyNumberFormat="1" applyFont="1" applyFill="1" applyAlignment="1">
      <alignment/>
    </xf>
    <xf numFmtId="206" fontId="10" fillId="0" borderId="28" xfId="1602" applyNumberFormat="1" applyFont="1" applyFill="1" applyBorder="1" applyAlignment="1">
      <alignment/>
    </xf>
    <xf numFmtId="206" fontId="10" fillId="0" borderId="0" xfId="1602" applyNumberFormat="1" applyFont="1" applyFill="1" applyAlignment="1">
      <alignment/>
    </xf>
    <xf numFmtId="210" fontId="10" fillId="0" borderId="0" xfId="2590" applyNumberFormat="1" applyFont="1" applyFill="1" applyAlignment="1" applyProtection="1" quotePrefix="1">
      <alignment horizontal="center"/>
      <protection/>
    </xf>
    <xf numFmtId="39" fontId="11" fillId="0" borderId="0" xfId="2590" applyNumberFormat="1" applyFont="1" applyFill="1" applyAlignment="1">
      <alignment/>
      <protection/>
    </xf>
    <xf numFmtId="39" fontId="11" fillId="0" borderId="27" xfId="2590" applyNumberFormat="1" applyFont="1" applyFill="1" applyBorder="1" applyAlignment="1" applyProtection="1">
      <alignment horizontal="centerContinuous"/>
      <protection/>
    </xf>
    <xf numFmtId="39" fontId="16" fillId="0" borderId="0" xfId="2067" applyNumberFormat="1" applyFont="1" applyFill="1" applyBorder="1" applyAlignment="1">
      <alignment vertical="center"/>
      <protection/>
    </xf>
    <xf numFmtId="223" fontId="16" fillId="0" borderId="28" xfId="1602" applyNumberFormat="1" applyFont="1" applyFill="1" applyBorder="1" applyAlignment="1">
      <alignment vertical="center"/>
    </xf>
    <xf numFmtId="39" fontId="18" fillId="0" borderId="0" xfId="2067" applyNumberFormat="1" applyFont="1" applyFill="1" applyAlignment="1">
      <alignment/>
      <protection/>
    </xf>
    <xf numFmtId="39" fontId="16" fillId="0" borderId="0" xfId="2067" applyNumberFormat="1" applyFont="1" applyFill="1" applyAlignment="1">
      <alignment/>
      <protection/>
    </xf>
    <xf numFmtId="39" fontId="18" fillId="0" borderId="0" xfId="2067" applyNumberFormat="1" applyFont="1" applyFill="1" applyAlignment="1">
      <alignment horizontal="left" vertical="center"/>
      <protection/>
    </xf>
    <xf numFmtId="39" fontId="16" fillId="0" borderId="0" xfId="2067" applyNumberFormat="1" applyFont="1" applyFill="1" applyAlignment="1">
      <alignment horizontal="left"/>
      <protection/>
    </xf>
    <xf numFmtId="39" fontId="10" fillId="0" borderId="0" xfId="2590" applyNumberFormat="1" applyFont="1" applyFill="1" applyBorder="1" applyAlignment="1" applyProtection="1">
      <alignment/>
      <protection/>
    </xf>
    <xf numFmtId="39" fontId="10" fillId="0" borderId="0" xfId="2089" applyNumberFormat="1" applyFont="1" applyFill="1" applyBorder="1" applyAlignment="1">
      <alignment/>
      <protection/>
    </xf>
    <xf numFmtId="0" fontId="16" fillId="0" borderId="0" xfId="2067" applyFont="1" applyFill="1" applyAlignment="1">
      <alignment horizontal="centerContinuous"/>
      <protection/>
    </xf>
    <xf numFmtId="39" fontId="16" fillId="0" borderId="0" xfId="2561" applyNumberFormat="1" applyFont="1" applyFill="1" applyBorder="1" applyAlignment="1" applyProtection="1">
      <alignment horizontal="centerContinuous"/>
      <protection/>
    </xf>
    <xf numFmtId="0" fontId="16" fillId="0" borderId="0" xfId="2067" applyFont="1" applyFill="1" applyAlignment="1">
      <alignment/>
      <protection/>
    </xf>
    <xf numFmtId="210" fontId="10" fillId="0" borderId="0" xfId="2590" applyNumberFormat="1" applyFont="1" applyFill="1" applyAlignment="1" applyProtection="1">
      <alignment horizontal="center"/>
      <protection/>
    </xf>
    <xf numFmtId="244" fontId="10" fillId="0" borderId="0" xfId="2590" applyNumberFormat="1" applyFont="1" applyFill="1" applyAlignment="1">
      <alignment/>
      <protection/>
    </xf>
    <xf numFmtId="223" fontId="16" fillId="0" borderId="29" xfId="1602" applyNumberFormat="1" applyFont="1" applyFill="1" applyBorder="1" applyAlignment="1">
      <alignment vertical="center"/>
    </xf>
    <xf numFmtId="223" fontId="16" fillId="0" borderId="26" xfId="1602" applyNumberFormat="1" applyFont="1" applyFill="1" applyBorder="1" applyAlignment="1">
      <alignment vertical="center"/>
    </xf>
    <xf numFmtId="206" fontId="10" fillId="0" borderId="0" xfId="1602" applyNumberFormat="1" applyFont="1" applyFill="1" applyBorder="1" applyAlignment="1">
      <alignment/>
    </xf>
    <xf numFmtId="223" fontId="16" fillId="0" borderId="0" xfId="2067" applyNumberFormat="1" applyFont="1" applyFill="1" applyBorder="1" applyAlignment="1">
      <alignment horizontal="right"/>
      <protection/>
    </xf>
    <xf numFmtId="39" fontId="16" fillId="0" borderId="0" xfId="2067" applyNumberFormat="1" applyFont="1" applyFill="1" applyAlignment="1">
      <alignment horizontal="centerContinuous" vertical="center"/>
      <protection/>
    </xf>
    <xf numFmtId="39" fontId="16" fillId="0" borderId="0" xfId="2067" applyNumberFormat="1" applyFont="1" applyFill="1" applyBorder="1" applyAlignment="1">
      <alignment horizontal="centerContinuous" vertical="center"/>
      <protection/>
    </xf>
    <xf numFmtId="0" fontId="102" fillId="0" borderId="0" xfId="2067" applyFont="1" applyFill="1">
      <alignment/>
      <protection/>
    </xf>
    <xf numFmtId="0" fontId="4" fillId="0" borderId="0" xfId="2067" applyFont="1" applyFill="1">
      <alignment/>
      <protection/>
    </xf>
    <xf numFmtId="0" fontId="103" fillId="0" borderId="0" xfId="2067" applyFont="1" applyFill="1">
      <alignment/>
      <protection/>
    </xf>
    <xf numFmtId="39" fontId="10" fillId="0" borderId="27" xfId="2089" applyNumberFormat="1" applyFont="1" applyFill="1" applyBorder="1" applyAlignment="1">
      <alignment horizontal="centerContinuous"/>
      <protection/>
    </xf>
    <xf numFmtId="39" fontId="11" fillId="0" borderId="27" xfId="2089" applyNumberFormat="1" applyFont="1" applyFill="1" applyBorder="1" applyAlignment="1">
      <alignment horizontal="centerContinuous"/>
      <protection/>
    </xf>
    <xf numFmtId="0" fontId="104" fillId="0" borderId="0" xfId="2067" applyFont="1" applyFill="1">
      <alignment/>
      <protection/>
    </xf>
    <xf numFmtId="0" fontId="102" fillId="0" borderId="0" xfId="2067" applyFont="1" applyFill="1" applyAlignment="1">
      <alignment horizontal="center"/>
      <protection/>
    </xf>
    <xf numFmtId="0" fontId="59" fillId="0" borderId="0" xfId="2067" applyFont="1" applyFill="1">
      <alignment/>
      <protection/>
    </xf>
    <xf numFmtId="0" fontId="102" fillId="0" borderId="27" xfId="2067" applyFont="1" applyFill="1" applyBorder="1" applyAlignment="1">
      <alignment horizontal="centerContinuous"/>
      <protection/>
    </xf>
    <xf numFmtId="0" fontId="104" fillId="0" borderId="27" xfId="2067" applyFont="1" applyFill="1" applyBorder="1" applyAlignment="1">
      <alignment horizontal="center"/>
      <protection/>
    </xf>
    <xf numFmtId="0" fontId="102" fillId="0" borderId="25" xfId="2067" applyFont="1" applyFill="1" applyBorder="1" applyAlignment="1">
      <alignment horizontal="center"/>
      <protection/>
    </xf>
    <xf numFmtId="223" fontId="103" fillId="0" borderId="0" xfId="2067" applyNumberFormat="1" applyFont="1" applyFill="1">
      <alignment/>
      <protection/>
    </xf>
    <xf numFmtId="223" fontId="16" fillId="0" borderId="27" xfId="2067" applyNumberFormat="1" applyFont="1" applyFill="1" applyBorder="1" applyAlignment="1">
      <alignment horizontal="right"/>
      <protection/>
    </xf>
    <xf numFmtId="223" fontId="103" fillId="0" borderId="27" xfId="2067" applyNumberFormat="1" applyFont="1" applyFill="1" applyBorder="1">
      <alignment/>
      <protection/>
    </xf>
    <xf numFmtId="223" fontId="10" fillId="0" borderId="27" xfId="2067" applyNumberFormat="1" applyFont="1" applyFill="1" applyBorder="1" applyAlignment="1" applyProtection="1">
      <alignment/>
      <protection/>
    </xf>
    <xf numFmtId="223" fontId="103" fillId="0" borderId="28" xfId="2067" applyNumberFormat="1" applyFont="1" applyFill="1" applyBorder="1">
      <alignment/>
      <protection/>
    </xf>
    <xf numFmtId="0" fontId="16" fillId="0" borderId="0" xfId="2067" applyFont="1" applyFill="1" applyBorder="1" applyAlignment="1">
      <alignment vertical="center"/>
      <protection/>
    </xf>
    <xf numFmtId="39" fontId="16" fillId="0" borderId="0" xfId="2561" applyNumberFormat="1" applyFont="1" applyFill="1" applyBorder="1" applyAlignment="1" applyProtection="1">
      <alignment vertical="center"/>
      <protection/>
    </xf>
    <xf numFmtId="39" fontId="18" fillId="0" borderId="0" xfId="2067" applyNumberFormat="1" applyFont="1" applyFill="1" applyAlignment="1">
      <alignment vertical="center"/>
      <protection/>
    </xf>
    <xf numFmtId="39" fontId="18" fillId="0" borderId="0" xfId="2067" applyNumberFormat="1" applyFont="1" applyFill="1" applyAlignment="1">
      <alignment horizontal="right"/>
      <protection/>
    </xf>
    <xf numFmtId="39" fontId="16" fillId="0" borderId="0" xfId="2067" applyNumberFormat="1" applyFont="1" applyFill="1">
      <alignment/>
      <protection/>
    </xf>
    <xf numFmtId="39" fontId="18" fillId="0" borderId="27" xfId="2067" applyNumberFormat="1" applyFont="1" applyFill="1" applyBorder="1" applyAlignment="1">
      <alignment vertical="center"/>
      <protection/>
    </xf>
    <xf numFmtId="39" fontId="18" fillId="0" borderId="27" xfId="2067" applyNumberFormat="1" applyFont="1" applyFill="1" applyBorder="1">
      <alignment/>
      <protection/>
    </xf>
    <xf numFmtId="223" fontId="103" fillId="0" borderId="0" xfId="2067" applyNumberFormat="1" applyFont="1" applyFill="1" applyBorder="1">
      <alignment/>
      <protection/>
    </xf>
    <xf numFmtId="39" fontId="16" fillId="0" borderId="0" xfId="2067" applyNumberFormat="1" applyFont="1" applyFill="1" applyBorder="1" applyAlignment="1">
      <alignment horizontal="left" vertical="center"/>
      <protection/>
    </xf>
    <xf numFmtId="39" fontId="16" fillId="0" borderId="0" xfId="1678" applyNumberFormat="1" applyFont="1" applyFill="1" applyBorder="1" applyAlignment="1">
      <alignment horizontal="left" vertical="center"/>
    </xf>
    <xf numFmtId="39" fontId="16" fillId="0" borderId="0" xfId="1678" applyNumberFormat="1" applyFont="1" applyFill="1" applyBorder="1" applyAlignment="1">
      <alignment horizontal="center" vertical="center"/>
    </xf>
    <xf numFmtId="210" fontId="16" fillId="0" borderId="0" xfId="2591" applyNumberFormat="1" applyFont="1" applyFill="1" applyBorder="1" applyAlignment="1">
      <alignment vertical="center"/>
      <protection/>
    </xf>
    <xf numFmtId="0" fontId="18" fillId="0" borderId="0" xfId="2067" applyFont="1" applyFill="1" applyBorder="1" applyAlignment="1">
      <alignment vertical="center"/>
      <protection/>
    </xf>
    <xf numFmtId="39" fontId="18" fillId="0" borderId="0" xfId="2067" applyNumberFormat="1" applyFont="1" applyFill="1" applyBorder="1" applyAlignment="1">
      <alignment vertical="center"/>
      <protection/>
    </xf>
    <xf numFmtId="0" fontId="18" fillId="0" borderId="0" xfId="2203" applyNumberFormat="1" applyFont="1" applyFill="1" applyBorder="1" applyAlignment="1">
      <alignment horizontal="right" vertical="center"/>
      <protection/>
    </xf>
    <xf numFmtId="0" fontId="102" fillId="0" borderId="0" xfId="2067" applyFont="1" applyFill="1" applyBorder="1" applyAlignment="1">
      <alignment horizontal="center"/>
      <protection/>
    </xf>
    <xf numFmtId="0" fontId="102" fillId="0" borderId="0" xfId="2067" applyFont="1" applyFill="1" applyBorder="1" applyAlignment="1">
      <alignment/>
      <protection/>
    </xf>
    <xf numFmtId="43" fontId="102" fillId="0" borderId="0" xfId="1602" applyFont="1" applyFill="1" applyBorder="1" applyAlignment="1">
      <alignment horizontal="center"/>
    </xf>
    <xf numFmtId="0" fontId="102" fillId="0" borderId="27" xfId="2067" applyFont="1" applyFill="1" applyBorder="1">
      <alignment/>
      <protection/>
    </xf>
    <xf numFmtId="0" fontId="18" fillId="0" borderId="27" xfId="2067" applyFont="1" applyFill="1" applyBorder="1" applyAlignment="1">
      <alignment vertical="center"/>
      <protection/>
    </xf>
    <xf numFmtId="0" fontId="102" fillId="0" borderId="27" xfId="2067" applyFont="1" applyFill="1" applyBorder="1" applyAlignment="1">
      <alignment horizontal="center"/>
      <protection/>
    </xf>
    <xf numFmtId="43" fontId="102" fillId="0" borderId="27" xfId="1602" applyFont="1" applyFill="1" applyBorder="1" applyAlignment="1">
      <alignment horizontal="center"/>
    </xf>
    <xf numFmtId="0" fontId="16" fillId="0" borderId="0" xfId="2587" applyNumberFormat="1" applyFont="1" applyFill="1" applyBorder="1" applyAlignment="1" applyProtection="1">
      <alignment vertical="center"/>
      <protection/>
    </xf>
    <xf numFmtId="0" fontId="101" fillId="0" borderId="0" xfId="2067" applyFont="1" applyFill="1" applyAlignment="1">
      <alignment vertical="center"/>
      <protection/>
    </xf>
    <xf numFmtId="0" fontId="103" fillId="0" borderId="0" xfId="2067" applyFont="1" applyFill="1" applyBorder="1">
      <alignment/>
      <protection/>
    </xf>
    <xf numFmtId="0" fontId="16" fillId="0" borderId="0" xfId="1678" applyNumberFormat="1" applyFont="1" applyFill="1" applyBorder="1" applyAlignment="1">
      <alignment vertical="center"/>
    </xf>
    <xf numFmtId="0" fontId="103" fillId="0" borderId="0" xfId="2067" applyFont="1" applyFill="1" applyBorder="1" applyAlignment="1">
      <alignment horizontal="center"/>
      <protection/>
    </xf>
    <xf numFmtId="43" fontId="103" fillId="0" borderId="0" xfId="1602" applyFont="1" applyFill="1" applyBorder="1" applyAlignment="1">
      <alignment horizontal="center"/>
    </xf>
    <xf numFmtId="9" fontId="103" fillId="0" borderId="0" xfId="2067" applyNumberFormat="1" applyFont="1" applyFill="1" applyBorder="1" applyAlignment="1">
      <alignment horizontal="center"/>
      <protection/>
    </xf>
    <xf numFmtId="223" fontId="103" fillId="0" borderId="25" xfId="2067" applyNumberFormat="1" applyFont="1" applyFill="1" applyBorder="1">
      <alignment/>
      <protection/>
    </xf>
    <xf numFmtId="0" fontId="103" fillId="0" borderId="28" xfId="2067" applyFont="1" applyFill="1" applyBorder="1" applyAlignment="1">
      <alignment horizontal="center"/>
      <protection/>
    </xf>
    <xf numFmtId="223" fontId="103" fillId="0" borderId="26" xfId="2067" applyNumberFormat="1" applyFont="1" applyFill="1" applyBorder="1">
      <alignment/>
      <protection/>
    </xf>
    <xf numFmtId="43" fontId="103" fillId="0" borderId="0" xfId="2067" applyNumberFormat="1" applyFont="1" applyFill="1" applyBorder="1">
      <alignment/>
      <protection/>
    </xf>
    <xf numFmtId="39" fontId="16" fillId="0" borderId="0" xfId="2587" applyNumberFormat="1" applyFont="1" applyFill="1" applyBorder="1" applyAlignment="1" applyProtection="1">
      <alignment vertical="center"/>
      <protection/>
    </xf>
    <xf numFmtId="39" fontId="18" fillId="0" borderId="0" xfId="2067" applyNumberFormat="1" applyFont="1" applyFill="1" applyBorder="1" applyAlignment="1">
      <alignment horizontal="center" vertical="center"/>
      <protection/>
    </xf>
    <xf numFmtId="0" fontId="18" fillId="0" borderId="0" xfId="2067" applyNumberFormat="1" applyFont="1" applyFill="1" applyBorder="1" applyAlignment="1">
      <alignment horizontal="left" vertical="center"/>
      <protection/>
    </xf>
    <xf numFmtId="0" fontId="16" fillId="0" borderId="0" xfId="1678" applyNumberFormat="1" applyFont="1" applyFill="1" applyBorder="1" applyAlignment="1">
      <alignment horizontal="left" vertical="center"/>
    </xf>
    <xf numFmtId="0" fontId="16" fillId="0" borderId="0" xfId="2067" applyNumberFormat="1" applyFont="1" applyFill="1" applyBorder="1" applyAlignment="1">
      <alignment horizontal="left" vertical="center"/>
      <protection/>
    </xf>
    <xf numFmtId="0" fontId="16" fillId="0" borderId="0" xfId="1678" applyNumberFormat="1" applyFont="1" applyFill="1" applyBorder="1" applyAlignment="1">
      <alignment horizontal="center" vertical="center"/>
    </xf>
    <xf numFmtId="224" fontId="16" fillId="0" borderId="0" xfId="1602" applyNumberFormat="1" applyFont="1" applyFill="1" applyBorder="1" applyAlignment="1">
      <alignment horizontal="right" vertical="center"/>
    </xf>
    <xf numFmtId="0" fontId="16" fillId="0" borderId="0" xfId="2067" applyFont="1" applyFill="1">
      <alignment/>
      <protection/>
    </xf>
    <xf numFmtId="223" fontId="16" fillId="0" borderId="0" xfId="1602" applyNumberFormat="1" applyFont="1" applyFill="1" applyBorder="1" applyAlignment="1">
      <alignment horizontal="right" vertical="center"/>
    </xf>
    <xf numFmtId="39" fontId="16" fillId="0" borderId="0" xfId="2067" applyNumberFormat="1" applyFont="1" applyFill="1" applyAlignment="1">
      <alignment horizontal="right"/>
      <protection/>
    </xf>
    <xf numFmtId="39" fontId="18" fillId="0" borderId="0" xfId="2067" applyNumberFormat="1" applyFont="1" applyFill="1" applyBorder="1" applyAlignment="1">
      <alignment horizontal="left" vertical="center"/>
      <protection/>
    </xf>
    <xf numFmtId="39" fontId="18" fillId="0" borderId="0" xfId="2067" applyNumberFormat="1" applyFont="1" applyFill="1" applyBorder="1" applyAlignment="1">
      <alignment horizontal="right" vertical="center"/>
      <protection/>
    </xf>
    <xf numFmtId="39" fontId="10" fillId="0" borderId="0" xfId="2587" applyNumberFormat="1" applyFont="1" applyFill="1" applyAlignment="1" applyProtection="1">
      <alignment horizontal="centerContinuous"/>
      <protection/>
    </xf>
    <xf numFmtId="39" fontId="10" fillId="0" borderId="0" xfId="2067" applyNumberFormat="1" applyFont="1" applyFill="1" applyAlignment="1">
      <alignment horizontal="centerContinuous"/>
      <protection/>
    </xf>
    <xf numFmtId="0" fontId="20" fillId="0" borderId="0" xfId="2119" applyFont="1" applyFill="1" applyAlignment="1">
      <alignment horizontal="centerContinuous" vertical="center"/>
      <protection/>
    </xf>
    <xf numFmtId="0" fontId="20" fillId="0" borderId="29" xfId="2119" applyFont="1" applyFill="1" applyBorder="1" applyAlignment="1">
      <alignment horizontal="centerContinuous"/>
      <protection/>
    </xf>
    <xf numFmtId="0" fontId="20" fillId="0" borderId="0" xfId="2119" applyFont="1" applyFill="1" applyBorder="1" applyAlignment="1">
      <alignment horizontal="centerContinuous"/>
      <protection/>
    </xf>
    <xf numFmtId="0" fontId="20" fillId="0" borderId="27" xfId="2119" applyFont="1" applyFill="1" applyBorder="1" applyAlignment="1">
      <alignment horizontal="centerContinuous"/>
      <protection/>
    </xf>
    <xf numFmtId="0" fontId="20" fillId="0" borderId="25" xfId="2119" applyFont="1" applyFill="1" applyBorder="1" applyAlignment="1">
      <alignment horizontal="centerContinuous" vertical="center"/>
      <protection/>
    </xf>
    <xf numFmtId="194" fontId="20" fillId="0" borderId="0" xfId="2119" applyNumberFormat="1" applyFont="1" applyFill="1" applyAlignment="1">
      <alignment vertical="center"/>
      <protection/>
    </xf>
    <xf numFmtId="43" fontId="20" fillId="0" borderId="0" xfId="1602" applyFont="1" applyFill="1" applyBorder="1" applyAlignment="1">
      <alignment vertical="center"/>
    </xf>
    <xf numFmtId="0" fontId="20" fillId="0" borderId="0" xfId="2119" applyFont="1" applyFill="1" applyAlignment="1">
      <alignment horizontal="centerContinuous"/>
      <protection/>
    </xf>
    <xf numFmtId="0" fontId="20" fillId="0" borderId="0" xfId="2170" applyFont="1" applyFill="1" applyAlignment="1">
      <alignment horizontal="centerContinuous"/>
      <protection/>
    </xf>
    <xf numFmtId="43" fontId="20" fillId="0" borderId="0" xfId="2170" applyNumberFormat="1" applyFont="1" applyFill="1" applyAlignment="1">
      <alignment horizontal="centerContinuous"/>
      <protection/>
    </xf>
    <xf numFmtId="40" fontId="10" fillId="0" borderId="0" xfId="2089" applyNumberFormat="1" applyFont="1" applyFill="1" applyAlignment="1" quotePrefix="1">
      <alignment horizontal="centerContinuous" vertical="center"/>
      <protection/>
    </xf>
    <xf numFmtId="207" fontId="10" fillId="0" borderId="27" xfId="2205" applyNumberFormat="1" applyFont="1" applyFill="1" applyBorder="1" applyAlignment="1">
      <alignment horizontal="centerContinuous"/>
      <protection/>
    </xf>
    <xf numFmtId="207" fontId="21" fillId="0" borderId="27" xfId="2205" applyNumberFormat="1" applyFont="1" applyFill="1" applyBorder="1" applyAlignment="1">
      <alignment horizontal="centerContinuous"/>
      <protection/>
    </xf>
    <xf numFmtId="207" fontId="21" fillId="0" borderId="0" xfId="2205" applyNumberFormat="1" applyFont="1" applyFill="1" applyAlignment="1">
      <alignment horizontal="centerContinuous"/>
      <protection/>
    </xf>
    <xf numFmtId="207" fontId="21" fillId="0" borderId="0" xfId="2205" applyNumberFormat="1" applyFont="1" applyFill="1" applyBorder="1" applyAlignment="1">
      <alignment horizontal="centerContinuous"/>
      <protection/>
    </xf>
    <xf numFmtId="207" fontId="21" fillId="0" borderId="29" xfId="2205" applyNumberFormat="1" applyFont="1" applyFill="1" applyBorder="1" applyAlignment="1">
      <alignment horizontal="centerContinuous"/>
      <protection/>
    </xf>
    <xf numFmtId="43" fontId="20" fillId="0" borderId="28" xfId="1602" applyFont="1" applyFill="1" applyBorder="1" applyAlignment="1">
      <alignment/>
    </xf>
    <xf numFmtId="207" fontId="60" fillId="0" borderId="0" xfId="2205" applyNumberFormat="1" applyFont="1" applyFill="1" applyBorder="1" applyAlignment="1">
      <alignment horizontal="centerContinuous"/>
      <protection/>
    </xf>
    <xf numFmtId="207" fontId="60" fillId="0" borderId="29" xfId="2205" applyNumberFormat="1" applyFont="1" applyFill="1" applyBorder="1" applyAlignment="1">
      <alignment horizontal="centerContinuous"/>
      <protection/>
    </xf>
    <xf numFmtId="224" fontId="20" fillId="0" borderId="0" xfId="1605" applyNumberFormat="1" applyFont="1" applyFill="1" applyBorder="1" applyAlignment="1" quotePrefix="1">
      <alignment/>
    </xf>
    <xf numFmtId="0" fontId="20" fillId="0" borderId="0" xfId="2205" applyNumberFormat="1" applyFont="1" applyFill="1" applyBorder="1">
      <alignment/>
      <protection/>
    </xf>
    <xf numFmtId="39" fontId="16" fillId="0" borderId="0" xfId="0" applyNumberFormat="1" applyFont="1" applyFill="1" applyAlignment="1">
      <alignment vertical="center"/>
    </xf>
    <xf numFmtId="223" fontId="16" fillId="0" borderId="27" xfId="1641" applyNumberFormat="1" applyFont="1" applyFill="1" applyBorder="1" applyAlignment="1">
      <alignment vertical="center"/>
    </xf>
    <xf numFmtId="39" fontId="16" fillId="0" borderId="0" xfId="0" applyNumberFormat="1" applyFont="1" applyFill="1" applyBorder="1" applyAlignment="1">
      <alignment vertical="center"/>
    </xf>
    <xf numFmtId="223" fontId="16" fillId="0" borderId="0" xfId="0" applyNumberFormat="1" applyFont="1" applyFill="1" applyBorder="1" applyAlignment="1">
      <alignment horizontal="right"/>
    </xf>
    <xf numFmtId="223" fontId="16" fillId="0" borderId="0" xfId="0" applyNumberFormat="1" applyFont="1" applyFill="1" applyAlignment="1">
      <alignment/>
    </xf>
    <xf numFmtId="223" fontId="103" fillId="0" borderId="0" xfId="0" applyNumberFormat="1" applyFont="1" applyFill="1" applyAlignment="1">
      <alignment/>
    </xf>
    <xf numFmtId="223" fontId="103" fillId="0" borderId="27" xfId="0" applyNumberFormat="1" applyFont="1" applyFill="1" applyBorder="1" applyAlignment="1">
      <alignment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 applyAlignment="1">
      <alignment/>
    </xf>
    <xf numFmtId="43" fontId="103" fillId="0" borderId="0" xfId="1641" applyFont="1" applyFill="1" applyBorder="1" applyAlignment="1">
      <alignment horizontal="center"/>
    </xf>
    <xf numFmtId="223" fontId="10" fillId="0" borderId="27" xfId="0" applyNumberFormat="1" applyFont="1" applyFill="1" applyBorder="1" applyAlignment="1" applyProtection="1">
      <alignment/>
      <protection/>
    </xf>
    <xf numFmtId="43" fontId="103" fillId="0" borderId="0" xfId="0" applyNumberFormat="1" applyFont="1" applyFill="1" applyAlignment="1">
      <alignment/>
    </xf>
    <xf numFmtId="43" fontId="20" fillId="0" borderId="0" xfId="1641" applyFont="1" applyFill="1" applyBorder="1" applyAlignment="1">
      <alignment vertical="center"/>
    </xf>
    <xf numFmtId="39" fontId="16" fillId="0" borderId="0" xfId="2560" applyNumberFormat="1" applyFont="1" applyFill="1" applyBorder="1" applyAlignment="1" applyProtection="1">
      <alignment horizontal="left"/>
      <protection/>
    </xf>
    <xf numFmtId="0" fontId="16" fillId="0" borderId="0" xfId="0" applyFont="1" applyFill="1" applyAlignment="1">
      <alignment horizontal="centerContinuous"/>
    </xf>
    <xf numFmtId="39" fontId="18" fillId="0" borderId="27" xfId="0" applyNumberFormat="1" applyFont="1" applyFill="1" applyBorder="1" applyAlignment="1" quotePrefix="1">
      <alignment horizontal="center"/>
    </xf>
    <xf numFmtId="43" fontId="10" fillId="0" borderId="0" xfId="1641" applyFont="1" applyFill="1" applyBorder="1" applyAlignment="1">
      <alignment vertical="center"/>
    </xf>
    <xf numFmtId="43" fontId="10" fillId="0" borderId="0" xfId="1641" applyFont="1" applyFill="1" applyBorder="1" applyAlignment="1">
      <alignment horizontal="left" vertical="center"/>
    </xf>
    <xf numFmtId="223" fontId="16" fillId="0" borderId="28" xfId="0" applyNumberFormat="1" applyFont="1" applyFill="1" applyBorder="1" applyAlignment="1">
      <alignment horizontal="right"/>
    </xf>
    <xf numFmtId="43" fontId="20" fillId="0" borderId="0" xfId="1642" applyFont="1" applyFill="1" applyBorder="1" applyAlignment="1">
      <alignment/>
    </xf>
    <xf numFmtId="43" fontId="20" fillId="0" borderId="0" xfId="1641" applyFont="1" applyFill="1" applyBorder="1" applyAlignment="1">
      <alignment/>
    </xf>
    <xf numFmtId="43" fontId="20" fillId="0" borderId="0" xfId="1642" applyFont="1" applyFill="1" applyAlignment="1">
      <alignment/>
    </xf>
    <xf numFmtId="43" fontId="20" fillId="0" borderId="0" xfId="1642" applyFont="1" applyFill="1" applyBorder="1" applyAlignment="1">
      <alignment horizontal="right"/>
    </xf>
    <xf numFmtId="43" fontId="20" fillId="0" borderId="0" xfId="1642" applyFont="1" applyFill="1" applyAlignment="1">
      <alignment horizontal="right"/>
    </xf>
    <xf numFmtId="224" fontId="20" fillId="0" borderId="0" xfId="1642" applyNumberFormat="1" applyFont="1" applyFill="1" applyBorder="1" applyAlignment="1">
      <alignment horizontal="right"/>
    </xf>
    <xf numFmtId="43" fontId="20" fillId="0" borderId="29" xfId="1642" applyFont="1" applyFill="1" applyBorder="1" applyAlignment="1">
      <alignment/>
    </xf>
    <xf numFmtId="43" fontId="20" fillId="0" borderId="27" xfId="1642" applyFont="1" applyFill="1" applyBorder="1" applyAlignment="1">
      <alignment/>
    </xf>
    <xf numFmtId="43" fontId="20" fillId="0" borderId="28" xfId="1642" applyFont="1" applyFill="1" applyBorder="1" applyAlignment="1">
      <alignment/>
    </xf>
    <xf numFmtId="224" fontId="20" fillId="0" borderId="0" xfId="1642" applyNumberFormat="1" applyFont="1" applyFill="1" applyBorder="1" applyAlignment="1">
      <alignment/>
    </xf>
    <xf numFmtId="43" fontId="20" fillId="0" borderId="0" xfId="1642" applyFont="1" applyFill="1" applyBorder="1" applyAlignment="1" quotePrefix="1">
      <alignment/>
    </xf>
    <xf numFmtId="224" fontId="20" fillId="0" borderId="0" xfId="1642" applyNumberFormat="1" applyFont="1" applyFill="1" applyBorder="1" applyAlignment="1">
      <alignment/>
    </xf>
    <xf numFmtId="43" fontId="20" fillId="0" borderId="0" xfId="1642" applyFont="1" applyFill="1" applyAlignment="1" quotePrefix="1">
      <alignment/>
    </xf>
    <xf numFmtId="43" fontId="21" fillId="0" borderId="31" xfId="1642" applyFont="1" applyFill="1" applyBorder="1" applyAlignment="1">
      <alignment/>
    </xf>
    <xf numFmtId="38" fontId="20" fillId="0" borderId="0" xfId="2205" applyNumberFormat="1" applyFont="1" applyFill="1" applyBorder="1" applyAlignment="1">
      <alignment horizontal="center"/>
      <protection/>
    </xf>
    <xf numFmtId="43" fontId="21" fillId="0" borderId="0" xfId="1642" applyFont="1" applyFill="1" applyBorder="1" applyAlignment="1">
      <alignment/>
    </xf>
    <xf numFmtId="43" fontId="20" fillId="0" borderId="0" xfId="1640" applyFont="1" applyFill="1" applyAlignment="1">
      <alignment horizontal="center"/>
    </xf>
    <xf numFmtId="43" fontId="20" fillId="0" borderId="0" xfId="1642" applyFont="1" applyFill="1" applyAlignment="1">
      <alignment horizontal="center"/>
    </xf>
    <xf numFmtId="220" fontId="20" fillId="0" borderId="0" xfId="1642" applyNumberFormat="1" applyFont="1" applyFill="1" applyBorder="1" applyAlignment="1">
      <alignment/>
    </xf>
    <xf numFmtId="43" fontId="21" fillId="0" borderId="28" xfId="1642" applyFont="1" applyFill="1" applyBorder="1" applyAlignment="1">
      <alignment/>
    </xf>
    <xf numFmtId="40" fontId="18" fillId="0" borderId="0" xfId="2089" applyNumberFormat="1" applyFont="1" applyFill="1" applyAlignment="1">
      <alignment vertical="center"/>
      <protection/>
    </xf>
    <xf numFmtId="40" fontId="16" fillId="0" borderId="0" xfId="1647" applyNumberFormat="1" applyFont="1" applyFill="1" applyAlignment="1">
      <alignment vertical="center"/>
    </xf>
    <xf numFmtId="40" fontId="16" fillId="0" borderId="0" xfId="2089" applyNumberFormat="1" applyFont="1" applyFill="1" applyAlignment="1">
      <alignment vertical="center"/>
      <protection/>
    </xf>
    <xf numFmtId="40" fontId="27" fillId="0" borderId="0" xfId="2089" applyNumberFormat="1" applyFont="1" applyFill="1" applyAlignment="1">
      <alignment horizontal="center" vertical="center"/>
      <protection/>
    </xf>
    <xf numFmtId="0" fontId="27" fillId="0" borderId="0" xfId="2207" applyFont="1" applyFill="1" applyAlignment="1">
      <alignment horizontal="center" vertical="center"/>
      <protection/>
    </xf>
    <xf numFmtId="199" fontId="16" fillId="0" borderId="0" xfId="2587" applyNumberFormat="1" applyFont="1" applyFill="1" applyBorder="1" applyAlignment="1" applyProtection="1">
      <alignment horizontal="centerContinuous" vertical="center"/>
      <protection/>
    </xf>
    <xf numFmtId="39" fontId="27" fillId="0" borderId="27" xfId="2089" applyNumberFormat="1" applyFont="1" applyFill="1" applyBorder="1" applyAlignment="1">
      <alignment horizontal="center" vertical="center"/>
      <protection/>
    </xf>
    <xf numFmtId="199" fontId="16" fillId="0" borderId="0" xfId="2587" applyNumberFormat="1" applyFont="1" applyFill="1" applyBorder="1" applyAlignment="1" applyProtection="1">
      <alignment vertical="center"/>
      <protection/>
    </xf>
    <xf numFmtId="0" fontId="16" fillId="0" borderId="0" xfId="2184" applyNumberFormat="1" applyFont="1" applyFill="1" applyAlignment="1" quotePrefix="1">
      <alignment horizontal="centerContinuous" vertical="center"/>
      <protection/>
    </xf>
    <xf numFmtId="0" fontId="16" fillId="0" borderId="0" xfId="2184" applyNumberFormat="1" applyFont="1" applyFill="1" applyAlignment="1">
      <alignment horizontal="centerContinuous" vertical="center"/>
      <protection/>
    </xf>
    <xf numFmtId="0" fontId="16" fillId="0" borderId="0" xfId="2184" applyFont="1" applyFill="1" applyAlignment="1">
      <alignment vertical="center"/>
      <protection/>
    </xf>
    <xf numFmtId="0" fontId="18" fillId="0" borderId="0" xfId="2207" applyFont="1" applyFill="1" applyAlignment="1">
      <alignment horizontal="right" vertical="center"/>
      <protection/>
    </xf>
    <xf numFmtId="40" fontId="16" fillId="0" borderId="0" xfId="1647" applyNumberFormat="1" applyFont="1" applyFill="1" applyBorder="1" applyAlignment="1">
      <alignment horizontal="center" vertical="center"/>
    </xf>
    <xf numFmtId="0" fontId="18" fillId="0" borderId="0" xfId="2089" applyFont="1" applyFill="1" applyBorder="1" applyAlignment="1" quotePrefix="1">
      <alignment horizontal="center" vertical="center"/>
      <protection/>
    </xf>
    <xf numFmtId="40" fontId="16" fillId="0" borderId="0" xfId="2089" applyNumberFormat="1" applyFont="1" applyFill="1" applyAlignment="1">
      <alignment horizontal="left" vertical="center"/>
      <protection/>
    </xf>
    <xf numFmtId="40" fontId="16" fillId="0" borderId="0" xfId="2207" applyNumberFormat="1" applyFont="1" applyFill="1" applyBorder="1" applyAlignment="1">
      <alignment horizontal="left" vertical="center"/>
      <protection/>
    </xf>
    <xf numFmtId="204" fontId="16" fillId="0" borderId="0" xfId="1647" applyNumberFormat="1" applyFont="1" applyFill="1" applyBorder="1" applyAlignment="1">
      <alignment vertical="center"/>
    </xf>
    <xf numFmtId="40" fontId="16" fillId="0" borderId="0" xfId="2089" applyNumberFormat="1" applyFont="1" applyFill="1" applyBorder="1" applyAlignment="1">
      <alignment vertical="center"/>
      <protection/>
    </xf>
    <xf numFmtId="245" fontId="10" fillId="0" borderId="0" xfId="1647" applyNumberFormat="1" applyFont="1" applyFill="1" applyBorder="1" applyAlignment="1">
      <alignment vertical="center"/>
    </xf>
    <xf numFmtId="43" fontId="16" fillId="0" borderId="0" xfId="1620" applyFont="1" applyFill="1" applyBorder="1" applyAlignment="1">
      <alignment horizontal="center" vertical="center"/>
    </xf>
    <xf numFmtId="245" fontId="10" fillId="0" borderId="27" xfId="1647" applyNumberFormat="1" applyFont="1" applyFill="1" applyBorder="1" applyAlignment="1">
      <alignment vertical="center"/>
    </xf>
    <xf numFmtId="0" fontId="16" fillId="0" borderId="0" xfId="2089" applyFont="1" applyFill="1" applyAlignment="1">
      <alignment vertical="center"/>
      <protection/>
    </xf>
    <xf numFmtId="43" fontId="16" fillId="0" borderId="0" xfId="1647" applyFont="1" applyFill="1" applyBorder="1" applyAlignment="1">
      <alignment vertical="center"/>
    </xf>
    <xf numFmtId="2" fontId="16" fillId="0" borderId="0" xfId="2089" applyNumberFormat="1" applyFont="1" applyFill="1" applyBorder="1" applyAlignment="1">
      <alignment vertical="center"/>
      <protection/>
    </xf>
    <xf numFmtId="0" fontId="16" fillId="0" borderId="0" xfId="2089" applyFont="1" applyFill="1" applyBorder="1" applyAlignment="1">
      <alignment vertical="center"/>
      <protection/>
    </xf>
    <xf numFmtId="223" fontId="103" fillId="0" borderId="0" xfId="0" applyNumberFormat="1" applyFont="1" applyFill="1" applyAlignment="1">
      <alignment vertical="center"/>
    </xf>
    <xf numFmtId="223" fontId="103" fillId="0" borderId="28" xfId="0" applyNumberFormat="1" applyFont="1" applyFill="1" applyBorder="1" applyAlignment="1">
      <alignment vertical="center"/>
    </xf>
    <xf numFmtId="39" fontId="10" fillId="0" borderId="0" xfId="2089" applyNumberFormat="1" applyFont="1" applyFill="1" applyBorder="1" applyAlignment="1">
      <alignment vertical="center"/>
      <protection/>
    </xf>
    <xf numFmtId="245" fontId="10" fillId="0" borderId="0" xfId="2089" applyNumberFormat="1" applyFont="1" applyFill="1" applyBorder="1" applyAlignment="1">
      <alignment vertical="center"/>
      <protection/>
    </xf>
    <xf numFmtId="40" fontId="16" fillId="0" borderId="0" xfId="2207" applyNumberFormat="1" applyFont="1" applyFill="1" applyAlignment="1">
      <alignment/>
      <protection/>
    </xf>
    <xf numFmtId="0" fontId="16" fillId="0" borderId="0" xfId="2207" applyFont="1" applyFill="1" applyAlignment="1">
      <alignment vertical="center"/>
      <protection/>
    </xf>
    <xf numFmtId="40" fontId="16" fillId="0" borderId="0" xfId="2207" applyNumberFormat="1" applyFont="1" applyFill="1" applyAlignment="1">
      <alignment vertical="center"/>
      <protection/>
    </xf>
    <xf numFmtId="43" fontId="16" fillId="0" borderId="0" xfId="1596" applyFont="1" applyFill="1" applyAlignment="1">
      <alignment vertical="center"/>
    </xf>
    <xf numFmtId="0" fontId="16" fillId="0" borderId="0" xfId="2207" applyFont="1" applyFill="1" applyAlignment="1">
      <alignment horizontal="centerContinuous" vertical="center"/>
      <protection/>
    </xf>
    <xf numFmtId="40" fontId="16" fillId="0" borderId="0" xfId="2207" applyNumberFormat="1" applyFont="1" applyFill="1" applyAlignment="1">
      <alignment horizontal="centerContinuous" vertical="center"/>
      <protection/>
    </xf>
    <xf numFmtId="199" fontId="27" fillId="0" borderId="27" xfId="2587" applyNumberFormat="1" applyFont="1" applyFill="1" applyBorder="1" applyAlignment="1" applyProtection="1">
      <alignment horizontal="centerContinuous"/>
      <protection/>
    </xf>
    <xf numFmtId="199" fontId="27" fillId="0" borderId="0" xfId="2587" applyNumberFormat="1" applyFont="1" applyFill="1" applyBorder="1" applyAlignment="1" applyProtection="1">
      <alignment horizontal="centerContinuous" vertical="center"/>
      <protection/>
    </xf>
    <xf numFmtId="40" fontId="16" fillId="0" borderId="0" xfId="2089" applyNumberFormat="1" applyFont="1" applyFill="1" applyAlignment="1">
      <alignment horizontal="center" vertical="center"/>
      <protection/>
    </xf>
    <xf numFmtId="40" fontId="18" fillId="0" borderId="27" xfId="1647" applyNumberFormat="1" applyFont="1" applyFill="1" applyBorder="1" applyAlignment="1" quotePrefix="1">
      <alignment horizontal="centerContinuous" vertical="center"/>
    </xf>
    <xf numFmtId="40" fontId="18" fillId="0" borderId="27" xfId="1647" applyNumberFormat="1" applyFont="1" applyFill="1" applyBorder="1" applyAlignment="1" quotePrefix="1">
      <alignment horizontal="center" vertical="center"/>
    </xf>
    <xf numFmtId="40" fontId="18" fillId="0" borderId="27" xfId="1647" applyNumberFormat="1" applyFont="1" applyFill="1" applyBorder="1" applyAlignment="1">
      <alignment horizontal="centerContinuous" vertical="center"/>
    </xf>
    <xf numFmtId="40" fontId="18" fillId="0" borderId="29" xfId="1647" applyNumberFormat="1" applyFont="1" applyFill="1" applyBorder="1" applyAlignment="1">
      <alignment horizontal="centerContinuous" vertical="center"/>
    </xf>
    <xf numFmtId="40" fontId="18" fillId="0" borderId="25" xfId="1647" applyNumberFormat="1" applyFont="1" applyFill="1" applyBorder="1" applyAlignment="1">
      <alignment horizontal="center" vertical="center"/>
    </xf>
    <xf numFmtId="40" fontId="18" fillId="0" borderId="29" xfId="1647" applyNumberFormat="1" applyFont="1" applyFill="1" applyBorder="1" applyAlignment="1">
      <alignment horizontal="center" vertical="center"/>
    </xf>
    <xf numFmtId="40" fontId="18" fillId="0" borderId="0" xfId="1647" applyNumberFormat="1" applyFont="1" applyFill="1" applyBorder="1" applyAlignment="1">
      <alignment horizontal="center" vertical="center"/>
    </xf>
    <xf numFmtId="204" fontId="16" fillId="0" borderId="28" xfId="1647" applyNumberFormat="1" applyFont="1" applyFill="1" applyBorder="1" applyAlignment="1">
      <alignment vertical="center"/>
    </xf>
    <xf numFmtId="204" fontId="16" fillId="0" borderId="0" xfId="1647" applyNumberFormat="1" applyFont="1" applyFill="1" applyAlignment="1">
      <alignment vertical="center"/>
    </xf>
    <xf numFmtId="0" fontId="10" fillId="0" borderId="0" xfId="2207" applyFont="1" applyFill="1" applyAlignment="1">
      <alignment horizontal="centerContinuous" vertical="center"/>
      <protection/>
    </xf>
    <xf numFmtId="40" fontId="10" fillId="0" borderId="0" xfId="2207" applyNumberFormat="1" applyFont="1" applyFill="1" applyAlignment="1">
      <alignment horizontal="centerContinuous" vertical="center"/>
      <protection/>
    </xf>
    <xf numFmtId="40" fontId="18" fillId="0" borderId="0" xfId="2207" applyNumberFormat="1" applyFont="1" applyFill="1" applyAlignment="1">
      <alignment vertical="center"/>
      <protection/>
    </xf>
    <xf numFmtId="0" fontId="18" fillId="0" borderId="0" xfId="2207" applyFont="1" applyFill="1" applyAlignment="1">
      <alignment vertical="center"/>
      <protection/>
    </xf>
    <xf numFmtId="199" fontId="18" fillId="0" borderId="27" xfId="2587" applyNumberFormat="1" applyFont="1" applyFill="1" applyBorder="1" applyAlignment="1" applyProtection="1">
      <alignment horizontal="centerContinuous" vertical="center"/>
      <protection/>
    </xf>
    <xf numFmtId="0" fontId="18" fillId="0" borderId="27" xfId="2207" applyFont="1" applyFill="1" applyBorder="1" applyAlignment="1">
      <alignment horizontal="centerContinuous" vertical="center"/>
      <protection/>
    </xf>
    <xf numFmtId="0" fontId="18" fillId="0" borderId="0" xfId="2207" applyFont="1" applyFill="1" applyAlignment="1">
      <alignment horizontal="centerContinuous" vertical="center"/>
      <protection/>
    </xf>
    <xf numFmtId="0" fontId="18" fillId="0" borderId="0" xfId="2184" applyFont="1" applyFill="1" applyAlignment="1">
      <alignment horizontal="centerContinuous" vertical="center"/>
      <protection/>
    </xf>
    <xf numFmtId="0" fontId="16" fillId="0" borderId="0" xfId="2207" applyFont="1" applyFill="1" applyAlignment="1">
      <alignment horizontal="center" vertical="center"/>
      <protection/>
    </xf>
    <xf numFmtId="40" fontId="18" fillId="0" borderId="0" xfId="2207" applyNumberFormat="1" applyFont="1" applyFill="1" applyBorder="1" applyAlignment="1">
      <alignment horizontal="center" vertical="center"/>
      <protection/>
    </xf>
    <xf numFmtId="0" fontId="18" fillId="0" borderId="0" xfId="2184" applyFont="1" applyFill="1" applyAlignment="1">
      <alignment vertical="center"/>
      <protection/>
    </xf>
    <xf numFmtId="40" fontId="18" fillId="0" borderId="29" xfId="2207" applyNumberFormat="1" applyFont="1" applyFill="1" applyBorder="1" applyAlignment="1">
      <alignment horizontal="center" vertical="center"/>
      <protection/>
    </xf>
    <xf numFmtId="0" fontId="18" fillId="0" borderId="27" xfId="2207" applyFont="1" applyFill="1" applyBorder="1" applyAlignment="1">
      <alignment horizontal="center" vertical="center"/>
      <protection/>
    </xf>
    <xf numFmtId="0" fontId="18" fillId="0" borderId="27" xfId="2207" applyFont="1" applyFill="1" applyBorder="1" applyAlignment="1">
      <alignment vertical="center"/>
      <protection/>
    </xf>
    <xf numFmtId="200" fontId="16" fillId="0" borderId="0" xfId="2207" applyNumberFormat="1" applyFont="1" applyFill="1" applyAlignment="1">
      <alignment vertical="center"/>
      <protection/>
    </xf>
    <xf numFmtId="0" fontId="16" fillId="0" borderId="0" xfId="2207" applyFont="1" applyFill="1">
      <alignment/>
      <protection/>
    </xf>
    <xf numFmtId="215" fontId="16" fillId="0" borderId="0" xfId="2207" applyNumberFormat="1" applyFont="1" applyFill="1" applyBorder="1" applyAlignment="1">
      <alignment vertical="center"/>
      <protection/>
    </xf>
    <xf numFmtId="214" fontId="16" fillId="0" borderId="0" xfId="2207" applyNumberFormat="1" applyFont="1" applyFill="1" applyAlignment="1">
      <alignment vertical="center"/>
      <protection/>
    </xf>
    <xf numFmtId="202" fontId="16" fillId="0" borderId="25" xfId="2207" applyNumberFormat="1" applyFont="1" applyFill="1" applyBorder="1" applyAlignment="1">
      <alignment vertical="center"/>
      <protection/>
    </xf>
    <xf numFmtId="202" fontId="16" fillId="0" borderId="29" xfId="2207" applyNumberFormat="1" applyFont="1" applyFill="1" applyBorder="1" applyAlignment="1">
      <alignment vertical="center"/>
      <protection/>
    </xf>
    <xf numFmtId="202" fontId="16" fillId="0" borderId="0" xfId="2207" applyNumberFormat="1" applyFont="1" applyFill="1" applyBorder="1" applyAlignment="1">
      <alignment vertical="center"/>
      <protection/>
    </xf>
    <xf numFmtId="43" fontId="16" fillId="0" borderId="29" xfId="1596" applyFont="1" applyFill="1" applyBorder="1" applyAlignment="1">
      <alignment vertical="center"/>
    </xf>
    <xf numFmtId="4" fontId="16" fillId="0" borderId="0" xfId="2184" applyNumberFormat="1" applyFont="1" applyFill="1" applyAlignment="1">
      <alignment vertical="center"/>
      <protection/>
    </xf>
    <xf numFmtId="206" fontId="16" fillId="0" borderId="25" xfId="1596" applyNumberFormat="1" applyFont="1" applyFill="1" applyBorder="1" applyAlignment="1">
      <alignment vertical="center"/>
    </xf>
    <xf numFmtId="202" fontId="16" fillId="0" borderId="0" xfId="2207" applyNumberFormat="1" applyFont="1" applyFill="1" applyAlignment="1">
      <alignment vertical="center"/>
      <protection/>
    </xf>
    <xf numFmtId="202" fontId="16" fillId="0" borderId="26" xfId="2207" applyNumberFormat="1" applyFont="1" applyFill="1" applyBorder="1" applyAlignment="1">
      <alignment vertical="center"/>
      <protection/>
    </xf>
    <xf numFmtId="0" fontId="16" fillId="0" borderId="0" xfId="2207" applyFont="1" applyFill="1" applyAlignment="1">
      <alignment horizontal="left" vertical="center"/>
      <protection/>
    </xf>
    <xf numFmtId="40" fontId="16" fillId="0" borderId="0" xfId="2207" applyNumberFormat="1" applyFont="1" applyFill="1" applyAlignment="1">
      <alignment horizontal="left" vertical="center"/>
      <protection/>
    </xf>
    <xf numFmtId="39" fontId="16" fillId="0" borderId="0" xfId="2089" applyNumberFormat="1" applyFont="1" applyFill="1" applyBorder="1" applyAlignment="1">
      <alignment horizontal="centerContinuous" vertical="center"/>
      <protection/>
    </xf>
    <xf numFmtId="0" fontId="16" fillId="0" borderId="0" xfId="2207" applyFont="1" applyFill="1" applyAlignment="1">
      <alignment horizontal="right" vertical="center"/>
      <protection/>
    </xf>
    <xf numFmtId="39" fontId="18" fillId="0" borderId="0" xfId="2089" applyNumberFormat="1" applyFont="1" applyFill="1" applyBorder="1" applyAlignment="1">
      <alignment horizontal="centerContinuous" vertical="center"/>
      <protection/>
    </xf>
    <xf numFmtId="43" fontId="10" fillId="0" borderId="0" xfId="1620" applyFont="1" applyFill="1" applyBorder="1" applyAlignment="1">
      <alignment horizontal="center" vertical="center"/>
    </xf>
    <xf numFmtId="43" fontId="16" fillId="0" borderId="27" xfId="1620" applyFont="1" applyFill="1" applyBorder="1" applyAlignment="1">
      <alignment vertical="center"/>
    </xf>
    <xf numFmtId="0" fontId="18" fillId="0" borderId="0" xfId="2089" applyFont="1" applyFill="1" applyAlignment="1">
      <alignment vertical="center"/>
      <protection/>
    </xf>
    <xf numFmtId="243" fontId="61" fillId="0" borderId="0" xfId="2587" applyNumberFormat="1" applyFont="1" applyFill="1" applyBorder="1" applyAlignment="1" applyProtection="1">
      <alignment horizontal="center"/>
      <protection/>
    </xf>
    <xf numFmtId="199" fontId="61" fillId="0" borderId="0" xfId="2587" applyNumberFormat="1" applyFont="1" applyFill="1" applyBorder="1" applyAlignment="1" applyProtection="1">
      <alignment horizontal="center"/>
      <protection/>
    </xf>
    <xf numFmtId="0" fontId="62" fillId="0" borderId="0" xfId="2089" applyFont="1" applyFill="1" applyAlignment="1">
      <alignment vertical="center"/>
      <protection/>
    </xf>
    <xf numFmtId="199" fontId="61" fillId="0" borderId="0" xfId="2587" applyNumberFormat="1" applyFont="1" applyFill="1" applyBorder="1" applyAlignment="1" applyProtection="1">
      <alignment horizontal="centerContinuous"/>
      <protection/>
    </xf>
    <xf numFmtId="43" fontId="63" fillId="0" borderId="0" xfId="1662" applyFont="1" applyFill="1" applyBorder="1" applyAlignment="1">
      <alignment horizontal="center"/>
    </xf>
    <xf numFmtId="40" fontId="63" fillId="0" borderId="0" xfId="0" applyNumberFormat="1" applyFont="1" applyFill="1" applyBorder="1" applyAlignment="1" quotePrefix="1">
      <alignment horizontal="center"/>
    </xf>
    <xf numFmtId="0" fontId="10" fillId="0" borderId="0" xfId="2089" applyFont="1" applyFill="1" applyBorder="1" applyAlignment="1">
      <alignment vertical="center"/>
      <protection/>
    </xf>
    <xf numFmtId="0" fontId="10" fillId="0" borderId="0" xfId="2089" applyFont="1" applyFill="1" applyAlignment="1">
      <alignment vertical="center"/>
      <protection/>
    </xf>
    <xf numFmtId="43" fontId="16" fillId="0" borderId="0" xfId="1623" applyFont="1" applyFill="1" applyBorder="1" applyAlignment="1">
      <alignment vertical="center"/>
    </xf>
    <xf numFmtId="43" fontId="16" fillId="0" borderId="27" xfId="1623" applyFont="1" applyFill="1" applyBorder="1" applyAlignment="1">
      <alignment vertical="center"/>
    </xf>
    <xf numFmtId="202" fontId="10" fillId="0" borderId="0" xfId="2207" applyNumberFormat="1" applyFont="1" applyFill="1" applyBorder="1" applyAlignment="1">
      <alignment vertical="center"/>
      <protection/>
    </xf>
    <xf numFmtId="202" fontId="16" fillId="0" borderId="28" xfId="2207" applyNumberFormat="1" applyFont="1" applyFill="1" applyBorder="1" applyAlignment="1">
      <alignment vertical="center"/>
      <protection/>
    </xf>
    <xf numFmtId="213" fontId="10" fillId="0" borderId="0" xfId="2089" applyNumberFormat="1" applyFont="1" applyFill="1" applyAlignment="1">
      <alignment vertical="center"/>
      <protection/>
    </xf>
    <xf numFmtId="43" fontId="16" fillId="0" borderId="0" xfId="1647" applyFont="1" applyFill="1" applyAlignment="1">
      <alignment vertical="center"/>
    </xf>
    <xf numFmtId="2" fontId="16" fillId="0" borderId="0" xfId="2089" applyNumberFormat="1" applyFont="1" applyFill="1" applyAlignment="1">
      <alignment vertical="center"/>
      <protection/>
    </xf>
    <xf numFmtId="4" fontId="16" fillId="0" borderId="0" xfId="2089" applyNumberFormat="1" applyFont="1" applyFill="1" applyAlignment="1">
      <alignment vertical="center"/>
      <protection/>
    </xf>
    <xf numFmtId="43" fontId="16" fillId="0" borderId="0" xfId="2089" applyNumberFormat="1" applyFont="1" applyFill="1" applyAlignment="1">
      <alignment vertical="center"/>
      <protection/>
    </xf>
    <xf numFmtId="0" fontId="16" fillId="0" borderId="0" xfId="2089" applyNumberFormat="1" applyFont="1" applyFill="1" applyAlignment="1">
      <alignment vertical="center"/>
      <protection/>
    </xf>
    <xf numFmtId="43" fontId="16" fillId="0" borderId="0" xfId="1641" applyFont="1" applyFill="1" applyAlignment="1">
      <alignment vertical="center"/>
    </xf>
    <xf numFmtId="213" fontId="10" fillId="0" borderId="0" xfId="2089" applyNumberFormat="1" applyFont="1" applyFill="1" applyBorder="1" applyAlignment="1">
      <alignment vertical="center"/>
      <protection/>
    </xf>
    <xf numFmtId="0" fontId="16" fillId="0" borderId="0" xfId="2207" applyFont="1" applyFill="1" applyAlignment="1">
      <alignment horizontal="centerContinuous"/>
      <protection/>
    </xf>
    <xf numFmtId="0" fontId="62" fillId="0" borderId="0" xfId="2207" applyFont="1" applyFill="1">
      <alignment/>
      <protection/>
    </xf>
    <xf numFmtId="40" fontId="18" fillId="0" borderId="0" xfId="2207" applyNumberFormat="1" applyFont="1" applyFill="1" applyAlignment="1">
      <alignment/>
      <protection/>
    </xf>
    <xf numFmtId="213" fontId="16" fillId="0" borderId="0" xfId="2207" applyNumberFormat="1" applyFont="1" applyFill="1">
      <alignment/>
      <protection/>
    </xf>
    <xf numFmtId="43" fontId="16" fillId="0" borderId="0" xfId="2207" applyNumberFormat="1" applyFont="1" applyFill="1">
      <alignment/>
      <protection/>
    </xf>
    <xf numFmtId="0" fontId="18" fillId="0" borderId="0" xfId="2207" applyFont="1" applyFill="1" applyAlignment="1">
      <alignment horizontal="right"/>
      <protection/>
    </xf>
    <xf numFmtId="0" fontId="62" fillId="0" borderId="0" xfId="2207" applyFont="1" applyFill="1" applyAlignment="1">
      <alignment horizontal="centerContinuous" vertical="center"/>
      <protection/>
    </xf>
    <xf numFmtId="0" fontId="16" fillId="0" borderId="0" xfId="2207" applyFont="1" applyFill="1" applyAlignment="1">
      <alignment horizontal="center"/>
      <protection/>
    </xf>
    <xf numFmtId="40" fontId="18" fillId="0" borderId="29" xfId="2207" applyNumberFormat="1" applyFont="1" applyFill="1" applyBorder="1" applyAlignment="1">
      <alignment horizontal="center"/>
      <protection/>
    </xf>
    <xf numFmtId="0" fontId="18" fillId="0" borderId="27" xfId="2207" applyFont="1" applyFill="1" applyBorder="1" applyAlignment="1">
      <alignment horizontal="center"/>
      <protection/>
    </xf>
    <xf numFmtId="200" fontId="16" fillId="0" borderId="0" xfId="2207" applyNumberFormat="1" applyFont="1" applyFill="1">
      <alignment/>
      <protection/>
    </xf>
    <xf numFmtId="202" fontId="16" fillId="0" borderId="0" xfId="2207" applyNumberFormat="1" applyFont="1" applyFill="1" applyBorder="1">
      <alignment/>
      <protection/>
    </xf>
    <xf numFmtId="215" fontId="16" fillId="0" borderId="0" xfId="2207" applyNumberFormat="1" applyFont="1" applyFill="1" applyBorder="1">
      <alignment/>
      <protection/>
    </xf>
    <xf numFmtId="214" fontId="16" fillId="0" borderId="0" xfId="2207" applyNumberFormat="1" applyFont="1" applyFill="1">
      <alignment/>
      <protection/>
    </xf>
    <xf numFmtId="214" fontId="62" fillId="0" borderId="0" xfId="2207" applyNumberFormat="1" applyFont="1" applyFill="1">
      <alignment/>
      <protection/>
    </xf>
    <xf numFmtId="206" fontId="16" fillId="0" borderId="0" xfId="2207" applyNumberFormat="1" applyFont="1" applyFill="1">
      <alignment/>
      <protection/>
    </xf>
    <xf numFmtId="215" fontId="16" fillId="0" borderId="27" xfId="2207" applyNumberFormat="1" applyFont="1" applyFill="1" applyBorder="1">
      <alignment/>
      <protection/>
    </xf>
    <xf numFmtId="215" fontId="16" fillId="0" borderId="0" xfId="2207" applyNumberFormat="1" applyFont="1" applyFill="1">
      <alignment/>
      <protection/>
    </xf>
    <xf numFmtId="206" fontId="62" fillId="0" borderId="0" xfId="2207" applyNumberFormat="1" applyFont="1" applyFill="1">
      <alignment/>
      <protection/>
    </xf>
    <xf numFmtId="202" fontId="16" fillId="0" borderId="25" xfId="2207" applyNumberFormat="1" applyFont="1" applyFill="1" applyBorder="1">
      <alignment/>
      <protection/>
    </xf>
    <xf numFmtId="215" fontId="16" fillId="0" borderId="25" xfId="2207" applyNumberFormat="1" applyFont="1" applyFill="1" applyBorder="1">
      <alignment/>
      <protection/>
    </xf>
    <xf numFmtId="202" fontId="16" fillId="0" borderId="0" xfId="2207" applyNumberFormat="1" applyFont="1" applyFill="1">
      <alignment/>
      <protection/>
    </xf>
    <xf numFmtId="43" fontId="16" fillId="0" borderId="0" xfId="1596" applyFont="1" applyFill="1" applyAlignment="1">
      <alignment/>
    </xf>
    <xf numFmtId="202" fontId="16" fillId="0" borderId="27" xfId="2207" applyNumberFormat="1" applyFont="1" applyFill="1" applyBorder="1">
      <alignment/>
      <protection/>
    </xf>
    <xf numFmtId="202" fontId="16" fillId="0" borderId="26" xfId="2207" applyNumberFormat="1" applyFont="1" applyFill="1" applyBorder="1">
      <alignment/>
      <protection/>
    </xf>
    <xf numFmtId="40" fontId="16" fillId="0" borderId="0" xfId="2207" applyNumberFormat="1" applyFont="1" applyFill="1">
      <alignment/>
      <protection/>
    </xf>
    <xf numFmtId="43" fontId="16" fillId="0" borderId="0" xfId="1605" applyFont="1" applyFill="1" applyAlignment="1">
      <alignment/>
    </xf>
    <xf numFmtId="39" fontId="16" fillId="0" borderId="0" xfId="2207" applyNumberFormat="1" applyFont="1" applyFill="1" applyAlignment="1">
      <alignment/>
      <protection/>
    </xf>
    <xf numFmtId="246" fontId="16" fillId="0" borderId="0" xfId="2207" applyNumberFormat="1" applyFont="1" applyFill="1">
      <alignment/>
      <protection/>
    </xf>
    <xf numFmtId="40" fontId="16" fillId="0" borderId="0" xfId="2207" applyNumberFormat="1" applyFont="1" applyFill="1" applyAlignment="1">
      <alignment horizontal="centerContinuous"/>
      <protection/>
    </xf>
    <xf numFmtId="0" fontId="62" fillId="0" borderId="0" xfId="2207" applyFont="1" applyFill="1" applyAlignment="1" quotePrefix="1">
      <alignment horizontal="center" vertical="center" textRotation="180"/>
      <protection/>
    </xf>
    <xf numFmtId="43" fontId="62" fillId="0" borderId="0" xfId="1641" applyFont="1" applyFill="1" applyAlignment="1">
      <alignment/>
    </xf>
    <xf numFmtId="43" fontId="62" fillId="0" borderId="0" xfId="2207" applyNumberFormat="1" applyFont="1" applyFill="1">
      <alignment/>
      <protection/>
    </xf>
    <xf numFmtId="207" fontId="16" fillId="0" borderId="0" xfId="2587" applyNumberFormat="1" applyFont="1" applyFill="1" applyBorder="1" applyAlignment="1" applyProtection="1">
      <alignment/>
      <protection/>
    </xf>
    <xf numFmtId="207" fontId="16" fillId="0" borderId="25" xfId="2587" applyNumberFormat="1" applyFont="1" applyFill="1" applyBorder="1" applyAlignment="1" applyProtection="1" quotePrefix="1">
      <alignment/>
      <protection/>
    </xf>
    <xf numFmtId="207" fontId="16" fillId="0" borderId="0" xfId="2587" applyNumberFormat="1" applyFont="1" applyFill="1" applyBorder="1" applyAlignment="1" applyProtection="1" quotePrefix="1">
      <alignment/>
      <protection/>
    </xf>
    <xf numFmtId="39" fontId="16" fillId="0" borderId="0" xfId="2587" applyNumberFormat="1" applyFont="1" applyFill="1" applyBorder="1" applyAlignment="1" applyProtection="1">
      <alignment/>
      <protection/>
    </xf>
    <xf numFmtId="39" fontId="16" fillId="0" borderId="0" xfId="2587" applyNumberFormat="1" applyFont="1" applyFill="1" applyBorder="1" applyAlignment="1" applyProtection="1" quotePrefix="1">
      <alignment/>
      <protection/>
    </xf>
    <xf numFmtId="218" fontId="16" fillId="0" borderId="27" xfId="1641" applyNumberFormat="1" applyFont="1" applyFill="1" applyBorder="1" applyAlignment="1">
      <alignment/>
    </xf>
    <xf numFmtId="218" fontId="16" fillId="0" borderId="0" xfId="1641" applyNumberFormat="1" applyFont="1" applyFill="1" applyAlignment="1">
      <alignment/>
    </xf>
    <xf numFmtId="39" fontId="16" fillId="0" borderId="0" xfId="0" applyNumberFormat="1" applyFont="1" applyFill="1" applyAlignment="1">
      <alignment horizontal="center"/>
    </xf>
    <xf numFmtId="39" fontId="16" fillId="0" borderId="0" xfId="1605" applyNumberFormat="1" applyFont="1" applyFill="1" applyAlignment="1">
      <alignment horizontal="right"/>
    </xf>
    <xf numFmtId="206" fontId="16" fillId="0" borderId="0" xfId="1662" applyNumberFormat="1" applyFont="1" applyFill="1" applyBorder="1" applyAlignment="1" applyProtection="1" quotePrefix="1">
      <alignment/>
      <protection/>
    </xf>
    <xf numFmtId="206" fontId="16" fillId="0" borderId="0" xfId="1641" applyNumberFormat="1" applyFont="1" applyFill="1" applyAlignment="1">
      <alignment/>
    </xf>
    <xf numFmtId="206" fontId="16" fillId="0" borderId="27" xfId="1662" applyNumberFormat="1" applyFont="1" applyFill="1" applyBorder="1" applyAlignment="1" applyProtection="1" quotePrefix="1">
      <alignment/>
      <protection/>
    </xf>
    <xf numFmtId="206" fontId="16" fillId="0" borderId="0" xfId="0" applyNumberFormat="1" applyFont="1" applyFill="1" applyAlignment="1">
      <alignment/>
    </xf>
    <xf numFmtId="39" fontId="16" fillId="0" borderId="0" xfId="1602" applyNumberFormat="1" applyFont="1" applyFill="1" applyAlignment="1">
      <alignment/>
    </xf>
    <xf numFmtId="39" fontId="16" fillId="0" borderId="0" xfId="1602" applyNumberFormat="1" applyFont="1" applyFill="1" applyAlignment="1">
      <alignment horizontal="center"/>
    </xf>
    <xf numFmtId="206" fontId="16" fillId="0" borderId="0" xfId="1602" applyNumberFormat="1" applyFont="1" applyFill="1" applyBorder="1" applyAlignment="1" applyProtection="1" quotePrefix="1">
      <alignment/>
      <protection/>
    </xf>
    <xf numFmtId="206" fontId="16" fillId="0" borderId="0" xfId="1602" applyNumberFormat="1" applyFont="1" applyFill="1" applyAlignment="1">
      <alignment/>
    </xf>
    <xf numFmtId="39" fontId="16" fillId="0" borderId="0" xfId="1641" applyNumberFormat="1" applyFont="1" applyFill="1" applyBorder="1" applyAlignment="1" applyProtection="1" quotePrefix="1">
      <alignment/>
      <protection/>
    </xf>
    <xf numFmtId="39" fontId="16" fillId="0" borderId="0" xfId="1641" applyNumberFormat="1" applyFont="1" applyFill="1" applyBorder="1" applyAlignment="1" applyProtection="1" quotePrefix="1">
      <alignment horizontal="center"/>
      <protection/>
    </xf>
    <xf numFmtId="210" fontId="16" fillId="0" borderId="0" xfId="0" applyNumberFormat="1" applyFont="1" applyFill="1" applyAlignment="1">
      <alignment/>
    </xf>
    <xf numFmtId="0" fontId="16" fillId="0" borderId="0" xfId="0" applyFont="1" applyFill="1" applyAlignment="1" quotePrefix="1">
      <alignment horizontal="centerContinuous"/>
    </xf>
    <xf numFmtId="210" fontId="16" fillId="0" borderId="0" xfId="0" applyNumberFormat="1" applyFont="1" applyFill="1" applyBorder="1" applyAlignment="1">
      <alignment/>
    </xf>
    <xf numFmtId="210" fontId="16" fillId="0" borderId="0" xfId="1641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9" fontId="10" fillId="0" borderId="0" xfId="2587" applyNumberFormat="1" applyFont="1" applyFill="1" applyAlignment="1" applyProtection="1">
      <alignment horizontal="centerContinuous" vertical="center"/>
      <protection/>
    </xf>
    <xf numFmtId="39" fontId="10" fillId="0" borderId="0" xfId="2587" applyNumberFormat="1" applyFont="1" applyFill="1" applyAlignment="1">
      <alignment horizontal="centerContinuous" vertical="center"/>
      <protection/>
    </xf>
    <xf numFmtId="39" fontId="16" fillId="0" borderId="0" xfId="1610" applyNumberFormat="1" applyFont="1" applyFill="1" applyAlignment="1">
      <alignment horizontal="centerContinuous" vertical="center"/>
    </xf>
    <xf numFmtId="39" fontId="16" fillId="0" borderId="0" xfId="2587" applyNumberFormat="1" applyFont="1" applyFill="1" applyBorder="1" applyAlignment="1" applyProtection="1" quotePrefix="1">
      <alignment horizontal="centerContinuous"/>
      <protection/>
    </xf>
    <xf numFmtId="210" fontId="16" fillId="0" borderId="0" xfId="2587" applyNumberFormat="1" applyFont="1" applyFill="1" applyBorder="1" applyAlignment="1" applyProtection="1">
      <alignment/>
      <protection/>
    </xf>
    <xf numFmtId="210" fontId="16" fillId="0" borderId="32" xfId="0" applyNumberFormat="1" applyFont="1" applyFill="1" applyBorder="1" applyAlignment="1">
      <alignment/>
    </xf>
    <xf numFmtId="210" fontId="16" fillId="0" borderId="29" xfId="0" applyNumberFormat="1" applyFont="1" applyFill="1" applyBorder="1" applyAlignment="1">
      <alignment/>
    </xf>
    <xf numFmtId="0" fontId="16" fillId="0" borderId="32" xfId="0" applyFont="1" applyFill="1" applyBorder="1" applyAlignment="1">
      <alignment horizontal="left"/>
    </xf>
    <xf numFmtId="0" fontId="16" fillId="0" borderId="29" xfId="0" applyFont="1" applyFill="1" applyBorder="1" applyAlignment="1">
      <alignment horizontal="left"/>
    </xf>
    <xf numFmtId="39" fontId="16" fillId="0" borderId="29" xfId="0" applyNumberFormat="1" applyFont="1" applyFill="1" applyBorder="1" applyAlignment="1">
      <alignment/>
    </xf>
    <xf numFmtId="39" fontId="16" fillId="0" borderId="29" xfId="1641" applyNumberFormat="1" applyFont="1" applyFill="1" applyBorder="1" applyAlignment="1">
      <alignment/>
    </xf>
    <xf numFmtId="39" fontId="16" fillId="0" borderId="29" xfId="0" applyNumberFormat="1" applyFont="1" applyFill="1" applyBorder="1" applyAlignment="1">
      <alignment/>
    </xf>
    <xf numFmtId="39" fontId="18" fillId="0" borderId="33" xfId="0" applyNumberFormat="1" applyFont="1" applyFill="1" applyBorder="1" applyAlignment="1">
      <alignment horizontal="right"/>
    </xf>
    <xf numFmtId="39" fontId="18" fillId="0" borderId="0" xfId="0" applyNumberFormat="1" applyFont="1" applyFill="1" applyBorder="1" applyAlignment="1">
      <alignment/>
    </xf>
    <xf numFmtId="210" fontId="16" fillId="0" borderId="34" xfId="0" applyNumberFormat="1" applyFont="1" applyFill="1" applyBorder="1" applyAlignment="1">
      <alignment/>
    </xf>
    <xf numFmtId="210" fontId="16" fillId="0" borderId="27" xfId="0" applyNumberFormat="1" applyFont="1" applyFill="1" applyBorder="1" applyAlignment="1">
      <alignment/>
    </xf>
    <xf numFmtId="0" fontId="16" fillId="0" borderId="34" xfId="0" applyFont="1" applyFill="1" applyBorder="1" applyAlignment="1">
      <alignment horizontal="left"/>
    </xf>
    <xf numFmtId="0" fontId="16" fillId="0" borderId="27" xfId="0" applyFont="1" applyFill="1" applyBorder="1" applyAlignment="1">
      <alignment horizontal="left"/>
    </xf>
    <xf numFmtId="39" fontId="18" fillId="0" borderId="27" xfId="0" applyNumberFormat="1" applyFont="1" applyFill="1" applyBorder="1" applyAlignment="1">
      <alignment/>
    </xf>
    <xf numFmtId="39" fontId="10" fillId="0" borderId="27" xfId="2089" applyNumberFormat="1" applyFont="1" applyFill="1" applyBorder="1" applyAlignment="1">
      <alignment/>
      <protection/>
    </xf>
    <xf numFmtId="40" fontId="18" fillId="0" borderId="35" xfId="1662" applyNumberFormat="1" applyFont="1" applyFill="1" applyBorder="1" applyAlignment="1">
      <alignment horizontal="center"/>
    </xf>
    <xf numFmtId="0" fontId="16" fillId="0" borderId="32" xfId="0" applyFont="1" applyFill="1" applyBorder="1" applyAlignment="1">
      <alignment/>
    </xf>
    <xf numFmtId="39" fontId="18" fillId="0" borderId="29" xfId="0" applyNumberFormat="1" applyFont="1" applyFill="1" applyBorder="1" applyAlignment="1">
      <alignment/>
    </xf>
    <xf numFmtId="39" fontId="10" fillId="0" borderId="29" xfId="2089" applyNumberFormat="1" applyFont="1" applyFill="1" applyBorder="1" applyAlignment="1">
      <alignment/>
      <protection/>
    </xf>
    <xf numFmtId="40" fontId="18" fillId="0" borderId="33" xfId="1662" applyNumberFormat="1" applyFont="1" applyFill="1" applyBorder="1" applyAlignment="1">
      <alignment horizontal="center"/>
    </xf>
    <xf numFmtId="39" fontId="16" fillId="0" borderId="0" xfId="0" applyNumberFormat="1" applyFont="1" applyFill="1" applyBorder="1" applyAlignment="1">
      <alignment horizontal="left"/>
    </xf>
    <xf numFmtId="39" fontId="16" fillId="0" borderId="34" xfId="1641" applyNumberFormat="1" applyFont="1" applyFill="1" applyBorder="1" applyAlignment="1" applyProtection="1" quotePrefix="1">
      <alignment/>
      <protection/>
    </xf>
    <xf numFmtId="39" fontId="16" fillId="0" borderId="27" xfId="1641" applyNumberFormat="1" applyFont="1" applyFill="1" applyBorder="1" applyAlignment="1" applyProtection="1" quotePrefix="1">
      <alignment/>
      <protection/>
    </xf>
    <xf numFmtId="39" fontId="16" fillId="0" borderId="34" xfId="1641" applyNumberFormat="1" applyFont="1" applyFill="1" applyBorder="1" applyAlignment="1" applyProtection="1" quotePrefix="1">
      <alignment horizontal="left"/>
      <protection/>
    </xf>
    <xf numFmtId="39" fontId="16" fillId="0" borderId="27" xfId="1641" applyNumberFormat="1" applyFont="1" applyFill="1" applyBorder="1" applyAlignment="1" applyProtection="1" quotePrefix="1">
      <alignment horizontal="left"/>
      <protection/>
    </xf>
    <xf numFmtId="39" fontId="16" fillId="0" borderId="27" xfId="0" applyNumberFormat="1" applyFont="1" applyFill="1" applyBorder="1" applyAlignment="1">
      <alignment/>
    </xf>
    <xf numFmtId="0" fontId="18" fillId="0" borderId="27" xfId="0" applyNumberFormat="1" applyFont="1" applyFill="1" applyBorder="1" applyAlignment="1" quotePrefix="1">
      <alignment horizontal="center"/>
    </xf>
    <xf numFmtId="39" fontId="18" fillId="0" borderId="27" xfId="0" applyNumberFormat="1" applyFont="1" applyFill="1" applyBorder="1" applyAlignment="1">
      <alignment horizontal="center"/>
    </xf>
    <xf numFmtId="39" fontId="16" fillId="0" borderId="0" xfId="0" applyNumberFormat="1" applyFont="1" applyFill="1" applyBorder="1" applyAlignment="1">
      <alignment/>
    </xf>
    <xf numFmtId="210" fontId="16" fillId="0" borderId="36" xfId="0" applyNumberFormat="1" applyFont="1" applyFill="1" applyBorder="1" applyAlignment="1">
      <alignment/>
    </xf>
    <xf numFmtId="210" fontId="16" fillId="0" borderId="25" xfId="0" applyNumberFormat="1" applyFont="1" applyFill="1" applyBorder="1" applyAlignment="1">
      <alignment/>
    </xf>
    <xf numFmtId="0" fontId="16" fillId="0" borderId="36" xfId="0" applyFont="1" applyFill="1" applyBorder="1" applyAlignment="1">
      <alignment horizontal="left"/>
    </xf>
    <xf numFmtId="0" fontId="16" fillId="0" borderId="25" xfId="0" applyFont="1" applyFill="1" applyBorder="1" applyAlignment="1">
      <alignment horizontal="left"/>
    </xf>
    <xf numFmtId="0" fontId="16" fillId="0" borderId="25" xfId="0" applyFont="1" applyFill="1" applyBorder="1" applyAlignment="1">
      <alignment/>
    </xf>
    <xf numFmtId="43" fontId="16" fillId="0" borderId="25" xfId="1641" applyFont="1" applyFill="1" applyBorder="1" applyAlignment="1">
      <alignment/>
    </xf>
    <xf numFmtId="43" fontId="16" fillId="0" borderId="37" xfId="2540" applyFont="1" applyFill="1" applyBorder="1" applyAlignment="1">
      <alignment/>
    </xf>
    <xf numFmtId="43" fontId="16" fillId="0" borderId="37" xfId="1641" applyFont="1" applyFill="1" applyBorder="1" applyAlignment="1">
      <alignment/>
    </xf>
    <xf numFmtId="206" fontId="16" fillId="0" borderId="37" xfId="1662" applyNumberFormat="1" applyFont="1" applyFill="1" applyBorder="1" applyAlignment="1" applyProtection="1" quotePrefix="1">
      <alignment/>
      <protection/>
    </xf>
    <xf numFmtId="0" fontId="18" fillId="0" borderId="0" xfId="0" applyFont="1" applyFill="1" applyBorder="1" applyAlignment="1">
      <alignment/>
    </xf>
    <xf numFmtId="210" fontId="16" fillId="0" borderId="36" xfId="2587" applyNumberFormat="1" applyFont="1" applyFill="1" applyBorder="1" applyAlignment="1" applyProtection="1">
      <alignment/>
      <protection/>
    </xf>
    <xf numFmtId="39" fontId="16" fillId="0" borderId="25" xfId="2587" applyNumberFormat="1" applyFont="1" applyFill="1" applyBorder="1" applyAlignment="1" applyProtection="1" quotePrefix="1">
      <alignment horizontal="centerContinuous"/>
      <protection/>
    </xf>
    <xf numFmtId="39" fontId="16" fillId="0" borderId="36" xfId="2587" applyNumberFormat="1" applyFont="1" applyFill="1" applyBorder="1" applyAlignment="1" applyProtection="1" quotePrefix="1">
      <alignment horizontal="left"/>
      <protection/>
    </xf>
    <xf numFmtId="39" fontId="16" fillId="0" borderId="25" xfId="2587" applyNumberFormat="1" applyFont="1" applyFill="1" applyBorder="1" applyAlignment="1" applyProtection="1" quotePrefix="1">
      <alignment horizontal="left"/>
      <protection/>
    </xf>
    <xf numFmtId="39" fontId="16" fillId="0" borderId="37" xfId="2587" applyNumberFormat="1" applyFont="1" applyFill="1" applyBorder="1" applyAlignment="1" applyProtection="1" quotePrefix="1">
      <alignment horizontal="centerContinuous"/>
      <protection/>
    </xf>
    <xf numFmtId="210" fontId="16" fillId="0" borderId="32" xfId="2587" applyNumberFormat="1" applyFont="1" applyFill="1" applyBorder="1" applyAlignment="1" applyProtection="1">
      <alignment/>
      <protection/>
    </xf>
    <xf numFmtId="210" fontId="16" fillId="0" borderId="32" xfId="0" applyNumberFormat="1" applyFont="1" applyFill="1" applyBorder="1" applyAlignment="1">
      <alignment horizontal="left"/>
    </xf>
    <xf numFmtId="210" fontId="16" fillId="0" borderId="29" xfId="0" applyNumberFormat="1" applyFont="1" applyFill="1" applyBorder="1" applyAlignment="1">
      <alignment horizontal="left"/>
    </xf>
    <xf numFmtId="210" fontId="16" fillId="0" borderId="29" xfId="1641" applyNumberFormat="1" applyFont="1" applyFill="1" applyBorder="1" applyAlignment="1">
      <alignment horizontal="left"/>
    </xf>
    <xf numFmtId="210" fontId="16" fillId="0" borderId="33" xfId="1641" applyNumberFormat="1" applyFont="1" applyFill="1" applyBorder="1" applyAlignment="1">
      <alignment/>
    </xf>
    <xf numFmtId="0" fontId="16" fillId="0" borderId="27" xfId="2089" applyFont="1" applyFill="1" applyBorder="1" applyAlignment="1">
      <alignment vertical="center"/>
      <protection/>
    </xf>
    <xf numFmtId="0" fontId="18" fillId="0" borderId="35" xfId="2207" applyFont="1" applyFill="1" applyBorder="1" applyAlignment="1">
      <alignment horizontal="right" vertical="center"/>
      <protection/>
    </xf>
    <xf numFmtId="39" fontId="11" fillId="0" borderId="29" xfId="2089" applyNumberFormat="1" applyFont="1" applyFill="1" applyBorder="1" applyAlignment="1">
      <alignment/>
      <protection/>
    </xf>
    <xf numFmtId="0" fontId="18" fillId="0" borderId="29" xfId="2184" applyFont="1" applyFill="1" applyBorder="1" applyAlignment="1">
      <alignment horizontal="center"/>
      <protection/>
    </xf>
    <xf numFmtId="39" fontId="11" fillId="0" borderId="33" xfId="2089" applyNumberFormat="1" applyFont="1" applyFill="1" applyBorder="1" applyAlignment="1">
      <alignment/>
      <protection/>
    </xf>
    <xf numFmtId="0" fontId="16" fillId="0" borderId="38" xfId="0" applyFont="1" applyFill="1" applyBorder="1" applyAlignment="1">
      <alignment/>
    </xf>
    <xf numFmtId="0" fontId="16" fillId="0" borderId="38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39" fontId="11" fillId="0" borderId="0" xfId="2089" applyNumberFormat="1" applyFont="1" applyFill="1" applyBorder="1" applyAlignment="1">
      <alignment/>
      <protection/>
    </xf>
    <xf numFmtId="39" fontId="11" fillId="0" borderId="0" xfId="2089" applyNumberFormat="1" applyFont="1" applyFill="1" applyBorder="1" applyAlignment="1">
      <alignment horizontal="center"/>
      <protection/>
    </xf>
    <xf numFmtId="39" fontId="11" fillId="0" borderId="39" xfId="2089" applyNumberFormat="1" applyFont="1" applyFill="1" applyBorder="1" applyAlignment="1">
      <alignment/>
      <protection/>
    </xf>
    <xf numFmtId="0" fontId="16" fillId="0" borderId="34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39" fontId="16" fillId="0" borderId="27" xfId="0" applyNumberFormat="1" applyFont="1" applyFill="1" applyBorder="1" applyAlignment="1">
      <alignment vertical="center"/>
    </xf>
    <xf numFmtId="39" fontId="18" fillId="0" borderId="35" xfId="0" applyNumberFormat="1" applyFont="1" applyFill="1" applyBorder="1" applyAlignment="1" quotePrefix="1">
      <alignment horizontal="center"/>
    </xf>
    <xf numFmtId="210" fontId="10" fillId="0" borderId="32" xfId="0" applyNumberFormat="1" applyFont="1" applyFill="1" applyBorder="1" applyAlignment="1">
      <alignment horizontal="left"/>
    </xf>
    <xf numFmtId="0" fontId="16" fillId="0" borderId="29" xfId="0" applyFont="1" applyFill="1" applyBorder="1" applyAlignment="1">
      <alignment/>
    </xf>
    <xf numFmtId="223" fontId="16" fillId="0" borderId="29" xfId="1641" applyNumberFormat="1" applyFont="1" applyFill="1" applyBorder="1" applyAlignment="1">
      <alignment/>
    </xf>
    <xf numFmtId="39" fontId="16" fillId="0" borderId="29" xfId="2587" applyNumberFormat="1" applyFont="1" applyFill="1" applyBorder="1" applyAlignment="1" applyProtection="1" quotePrefix="1">
      <alignment horizontal="left"/>
      <protection/>
    </xf>
    <xf numFmtId="223" fontId="16" fillId="0" borderId="33" xfId="1641" applyNumberFormat="1" applyFont="1" applyFill="1" applyBorder="1" applyAlignment="1">
      <alignment/>
    </xf>
    <xf numFmtId="210" fontId="10" fillId="0" borderId="34" xfId="0" applyNumberFormat="1" applyFont="1" applyFill="1" applyBorder="1" applyAlignment="1">
      <alignment horizontal="left"/>
    </xf>
    <xf numFmtId="223" fontId="16" fillId="0" borderId="27" xfId="1641" applyNumberFormat="1" applyFont="1" applyFill="1" applyBorder="1" applyAlignment="1">
      <alignment/>
    </xf>
    <xf numFmtId="39" fontId="16" fillId="0" borderId="27" xfId="2587" applyNumberFormat="1" applyFont="1" applyFill="1" applyBorder="1" applyAlignment="1" applyProtection="1" quotePrefix="1">
      <alignment horizontal="left"/>
      <protection/>
    </xf>
    <xf numFmtId="223" fontId="16" fillId="0" borderId="35" xfId="1641" applyNumberFormat="1" applyFont="1" applyFill="1" applyBorder="1" applyAlignment="1">
      <alignment/>
    </xf>
    <xf numFmtId="39" fontId="16" fillId="0" borderId="29" xfId="2587" applyNumberFormat="1" applyFont="1" applyFill="1" applyBorder="1" applyAlignment="1" applyProtection="1" quotePrefix="1">
      <alignment horizontal="centerContinuous"/>
      <protection/>
    </xf>
    <xf numFmtId="39" fontId="16" fillId="0" borderId="32" xfId="2587" applyNumberFormat="1" applyFont="1" applyFill="1" applyBorder="1" applyAlignment="1" applyProtection="1" quotePrefix="1">
      <alignment horizontal="left"/>
      <protection/>
    </xf>
    <xf numFmtId="210" fontId="16" fillId="0" borderId="34" xfId="2587" applyNumberFormat="1" applyFont="1" applyFill="1" applyBorder="1" applyAlignment="1" applyProtection="1">
      <alignment/>
      <protection/>
    </xf>
    <xf numFmtId="39" fontId="16" fillId="0" borderId="27" xfId="2587" applyNumberFormat="1" applyFont="1" applyFill="1" applyBorder="1" applyAlignment="1" applyProtection="1" quotePrefix="1">
      <alignment horizontal="centerContinuous"/>
      <protection/>
    </xf>
    <xf numFmtId="39" fontId="16" fillId="0" borderId="34" xfId="2587" applyNumberFormat="1" applyFont="1" applyFill="1" applyBorder="1" applyAlignment="1" applyProtection="1" quotePrefix="1">
      <alignment horizontal="left"/>
      <protection/>
    </xf>
    <xf numFmtId="39" fontId="16" fillId="0" borderId="33" xfId="2587" applyNumberFormat="1" applyFont="1" applyFill="1" applyBorder="1" applyAlignment="1" applyProtection="1" quotePrefix="1">
      <alignment horizontal="centerContinuous"/>
      <protection/>
    </xf>
    <xf numFmtId="0" fontId="16" fillId="0" borderId="34" xfId="2089" applyFont="1" applyFill="1" applyBorder="1" applyAlignment="1">
      <alignment horizontal="left" vertical="center"/>
      <protection/>
    </xf>
    <xf numFmtId="0" fontId="16" fillId="0" borderId="27" xfId="2089" applyFont="1" applyFill="1" applyBorder="1" applyAlignment="1">
      <alignment horizontal="left" vertical="center"/>
      <protection/>
    </xf>
    <xf numFmtId="210" fontId="16" fillId="0" borderId="38" xfId="2587" applyNumberFormat="1" applyFont="1" applyFill="1" applyBorder="1" applyAlignment="1" applyProtection="1">
      <alignment/>
      <protection/>
    </xf>
    <xf numFmtId="39" fontId="16" fillId="0" borderId="38" xfId="2587" applyNumberFormat="1" applyFont="1" applyFill="1" applyBorder="1" applyAlignment="1" applyProtection="1" quotePrefix="1">
      <alignment horizontal="left"/>
      <protection/>
    </xf>
    <xf numFmtId="39" fontId="16" fillId="0" borderId="0" xfId="2587" applyNumberFormat="1" applyFont="1" applyFill="1" applyBorder="1" applyAlignment="1" applyProtection="1" quotePrefix="1">
      <alignment horizontal="left"/>
      <protection/>
    </xf>
    <xf numFmtId="39" fontId="16" fillId="0" borderId="39" xfId="2587" applyNumberFormat="1" applyFont="1" applyFill="1" applyBorder="1" applyAlignment="1" applyProtection="1" quotePrefix="1">
      <alignment horizontal="centerContinuous"/>
      <protection/>
    </xf>
    <xf numFmtId="0" fontId="16" fillId="0" borderId="0" xfId="2089" applyFont="1" applyFill="1" applyBorder="1" applyAlignment="1">
      <alignment horizontal="left" vertical="center"/>
      <protection/>
    </xf>
    <xf numFmtId="0" fontId="18" fillId="0" borderId="0" xfId="2207" applyFont="1" applyFill="1" applyBorder="1" applyAlignment="1">
      <alignment horizontal="right" vertical="center"/>
      <protection/>
    </xf>
    <xf numFmtId="39" fontId="2" fillId="0" borderId="0" xfId="2587" applyNumberFormat="1" applyFont="1" applyFill="1" applyBorder="1" applyAlignment="1" applyProtection="1" quotePrefix="1">
      <alignment horizontal="centerContinuous" vertical="center"/>
      <protection/>
    </xf>
    <xf numFmtId="39" fontId="6" fillId="0" borderId="0" xfId="0" applyNumberFormat="1" applyFont="1" applyFill="1" applyAlignment="1">
      <alignment horizontal="centerContinuous" vertical="center"/>
    </xf>
    <xf numFmtId="39" fontId="16" fillId="0" borderId="0" xfId="1602" applyNumberFormat="1" applyFont="1" applyFill="1" applyBorder="1" applyAlignment="1" applyProtection="1" quotePrefix="1">
      <alignment/>
      <protection/>
    </xf>
    <xf numFmtId="39" fontId="16" fillId="0" borderId="0" xfId="1602" applyNumberFormat="1" applyFont="1" applyFill="1" applyBorder="1" applyAlignment="1" applyProtection="1" quotePrefix="1">
      <alignment horizontal="center"/>
      <protection/>
    </xf>
    <xf numFmtId="39" fontId="18" fillId="0" borderId="0" xfId="0" applyNumberFormat="1" applyFont="1" applyFill="1" applyAlignment="1">
      <alignment horizontal="left"/>
    </xf>
    <xf numFmtId="39" fontId="18" fillId="0" borderId="0" xfId="0" applyNumberFormat="1" applyFont="1" applyFill="1" applyBorder="1" applyAlignment="1">
      <alignment horizontal="left" vertical="center"/>
    </xf>
    <xf numFmtId="39" fontId="18" fillId="0" borderId="0" xfId="0" applyNumberFormat="1" applyFont="1" applyFill="1" applyBorder="1" applyAlignment="1">
      <alignment horizontal="center" vertical="center"/>
    </xf>
    <xf numFmtId="39" fontId="18" fillId="0" borderId="27" xfId="0" applyNumberFormat="1" applyFont="1" applyFill="1" applyBorder="1" applyAlignment="1">
      <alignment horizontal="center" vertical="center"/>
    </xf>
    <xf numFmtId="206" fontId="16" fillId="0" borderId="29" xfId="1662" applyNumberFormat="1" applyFont="1" applyFill="1" applyBorder="1" applyAlignment="1" applyProtection="1" quotePrefix="1">
      <alignment/>
      <protection/>
    </xf>
    <xf numFmtId="0" fontId="18" fillId="0" borderId="0" xfId="0" applyFont="1" applyFill="1" applyAlignment="1" quotePrefix="1">
      <alignment horizontal="left"/>
    </xf>
    <xf numFmtId="206" fontId="16" fillId="0" borderId="28" xfId="1662" applyNumberFormat="1" applyFont="1" applyFill="1" applyBorder="1" applyAlignment="1" applyProtection="1" quotePrefix="1">
      <alignment/>
      <protection/>
    </xf>
    <xf numFmtId="39" fontId="16" fillId="0" borderId="0" xfId="1602" applyNumberFormat="1" applyFont="1" applyFill="1" applyAlignment="1">
      <alignment/>
    </xf>
    <xf numFmtId="39" fontId="18" fillId="0" borderId="0" xfId="0" applyNumberFormat="1" applyFont="1" applyFill="1" applyAlignment="1">
      <alignment horizontal="right"/>
    </xf>
    <xf numFmtId="210" fontId="18" fillId="0" borderId="0" xfId="0" applyNumberFormat="1" applyFont="1" applyFill="1" applyAlignment="1">
      <alignment/>
    </xf>
    <xf numFmtId="210" fontId="16" fillId="0" borderId="0" xfId="1602" applyNumberFormat="1" applyFont="1" applyFill="1" applyAlignment="1">
      <alignment/>
    </xf>
    <xf numFmtId="0" fontId="18" fillId="0" borderId="0" xfId="2184" applyFont="1" applyFill="1" applyBorder="1" applyAlignment="1">
      <alignment horizontal="center"/>
      <protection/>
    </xf>
    <xf numFmtId="39" fontId="11" fillId="0" borderId="27" xfId="2089" applyNumberFormat="1" applyFont="1" applyFill="1" applyBorder="1" applyAlignment="1">
      <alignment horizontal="center"/>
      <protection/>
    </xf>
    <xf numFmtId="0" fontId="18" fillId="0" borderId="27" xfId="2184" applyFont="1" applyFill="1" applyBorder="1" applyAlignment="1">
      <alignment horizontal="centerContinuous"/>
      <protection/>
    </xf>
    <xf numFmtId="39" fontId="11" fillId="0" borderId="0" xfId="1647" applyNumberFormat="1" applyFont="1" applyFill="1" applyBorder="1" applyAlignment="1" applyProtection="1">
      <alignment horizontal="centerContinuous"/>
      <protection/>
    </xf>
    <xf numFmtId="39" fontId="11" fillId="0" borderId="27" xfId="1647" applyNumberFormat="1" applyFont="1" applyFill="1" applyBorder="1" applyAlignment="1" applyProtection="1">
      <alignment horizontal="centerContinuous"/>
      <protection/>
    </xf>
    <xf numFmtId="39" fontId="11" fillId="0" borderId="0" xfId="2590" applyNumberFormat="1" applyFont="1" applyFill="1" applyBorder="1" applyAlignment="1">
      <alignment/>
      <protection/>
    </xf>
    <xf numFmtId="39" fontId="10" fillId="0" borderId="0" xfId="2089" applyNumberFormat="1" applyFont="1" applyFill="1" applyBorder="1" applyAlignment="1">
      <alignment horizontal="centerContinuous"/>
      <protection/>
    </xf>
    <xf numFmtId="39" fontId="11" fillId="0" borderId="0" xfId="2089" applyNumberFormat="1" applyFont="1" applyFill="1" applyBorder="1" applyAlignment="1">
      <alignment horizontal="centerContinuous"/>
      <protection/>
    </xf>
    <xf numFmtId="210" fontId="16" fillId="0" borderId="0" xfId="1605" applyNumberFormat="1" applyFont="1" applyFill="1" applyAlignment="1">
      <alignment/>
    </xf>
    <xf numFmtId="40" fontId="18" fillId="0" borderId="27" xfId="1662" applyNumberFormat="1" applyFont="1" applyFill="1" applyBorder="1" applyAlignment="1">
      <alignment horizontal="center"/>
    </xf>
    <xf numFmtId="210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210" fontId="16" fillId="0" borderId="0" xfId="0" applyNumberFormat="1" applyFont="1" applyFill="1" applyBorder="1" applyAlignment="1">
      <alignment horizontal="center"/>
    </xf>
    <xf numFmtId="39" fontId="16" fillId="0" borderId="0" xfId="1605" applyNumberFormat="1" applyFont="1" applyFill="1" applyAlignment="1">
      <alignment/>
    </xf>
    <xf numFmtId="39" fontId="16" fillId="0" borderId="0" xfId="1605" applyNumberFormat="1" applyFont="1" applyFill="1" applyBorder="1" applyAlignment="1" applyProtection="1" quotePrefix="1">
      <alignment horizontal="center"/>
      <protection/>
    </xf>
    <xf numFmtId="210" fontId="18" fillId="0" borderId="0" xfId="2587" applyNumberFormat="1" applyFont="1" applyFill="1" applyAlignment="1" applyProtection="1">
      <alignment/>
      <protection/>
    </xf>
    <xf numFmtId="39" fontId="10" fillId="0" borderId="0" xfId="1605" applyNumberFormat="1" applyFont="1" applyFill="1" applyAlignment="1">
      <alignment/>
    </xf>
    <xf numFmtId="39" fontId="10" fillId="0" borderId="0" xfId="0" applyNumberFormat="1" applyFont="1" applyFill="1" applyAlignment="1">
      <alignment horizontal="center"/>
    </xf>
    <xf numFmtId="39" fontId="10" fillId="0" borderId="0" xfId="1605" applyNumberFormat="1" applyFont="1" applyFill="1" applyBorder="1" applyAlignment="1" applyProtection="1" quotePrefix="1">
      <alignment/>
      <protection/>
    </xf>
    <xf numFmtId="39" fontId="10" fillId="0" borderId="0" xfId="1638" applyNumberFormat="1" applyFont="1" applyFill="1" applyAlignment="1">
      <alignment/>
    </xf>
    <xf numFmtId="39" fontId="11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/>
    </xf>
    <xf numFmtId="39" fontId="11" fillId="0" borderId="27" xfId="0" applyNumberFormat="1" applyFont="1" applyFill="1" applyBorder="1" applyAlignment="1">
      <alignment horizontal="centerContinuous" vertical="center"/>
    </xf>
    <xf numFmtId="39" fontId="11" fillId="0" borderId="29" xfId="0" applyNumberFormat="1" applyFont="1" applyFill="1" applyBorder="1" applyAlignment="1" quotePrefix="1">
      <alignment horizontal="center"/>
    </xf>
    <xf numFmtId="39" fontId="10" fillId="0" borderId="29" xfId="0" applyNumberFormat="1" applyFont="1" applyFill="1" applyBorder="1" applyAlignment="1">
      <alignment/>
    </xf>
    <xf numFmtId="43" fontId="10" fillId="0" borderId="0" xfId="1602" applyFont="1" applyFill="1" applyBorder="1" applyAlignment="1">
      <alignment horizontal="right"/>
    </xf>
    <xf numFmtId="0" fontId="16" fillId="0" borderId="0" xfId="0" applyNumberFormat="1" applyFont="1" applyFill="1" applyAlignment="1">
      <alignment horizontal="left"/>
    </xf>
    <xf numFmtId="39" fontId="10" fillId="0" borderId="0" xfId="0" applyNumberFormat="1" applyFont="1" applyFill="1" applyAlignment="1">
      <alignment horizontal="left"/>
    </xf>
    <xf numFmtId="226" fontId="10" fillId="0" borderId="25" xfId="0" applyNumberFormat="1" applyFont="1" applyFill="1" applyBorder="1" applyAlignment="1">
      <alignment horizontal="right"/>
    </xf>
    <xf numFmtId="39" fontId="18" fillId="0" borderId="0" xfId="0" applyNumberFormat="1" applyFont="1" applyFill="1" applyBorder="1" applyAlignment="1">
      <alignment horizontal="center"/>
    </xf>
    <xf numFmtId="226" fontId="10" fillId="0" borderId="28" xfId="0" applyNumberFormat="1" applyFont="1" applyFill="1" applyBorder="1" applyAlignment="1">
      <alignment horizontal="right"/>
    </xf>
    <xf numFmtId="0" fontId="12" fillId="0" borderId="0" xfId="2587" applyNumberFormat="1" applyFont="1" applyFill="1" applyBorder="1" applyAlignment="1" applyProtection="1" quotePrefix="1">
      <alignment/>
      <protection/>
    </xf>
    <xf numFmtId="39" fontId="2" fillId="0" borderId="0" xfId="0" applyNumberFormat="1" applyFont="1" applyFill="1" applyAlignment="1">
      <alignment horizontal="centerContinuous" vertical="center"/>
    </xf>
    <xf numFmtId="0" fontId="16" fillId="0" borderId="0" xfId="2087" applyFont="1" applyFill="1" applyAlignment="1">
      <alignment/>
      <protection/>
    </xf>
    <xf numFmtId="0" fontId="18" fillId="0" borderId="0" xfId="2087" applyFont="1" applyFill="1" applyBorder="1" applyAlignment="1">
      <alignment/>
      <protection/>
    </xf>
    <xf numFmtId="39" fontId="18" fillId="0" borderId="0" xfId="0" applyNumberFormat="1" applyFont="1" applyFill="1" applyBorder="1" applyAlignment="1">
      <alignment horizontal="centerContinuous"/>
    </xf>
    <xf numFmtId="0" fontId="11" fillId="0" borderId="0" xfId="2087" applyFont="1" applyFill="1" applyBorder="1" applyAlignment="1">
      <alignment horizontal="centerContinuous"/>
      <protection/>
    </xf>
    <xf numFmtId="0" fontId="11" fillId="0" borderId="27" xfId="2087" applyFont="1" applyFill="1" applyBorder="1" applyAlignment="1">
      <alignment horizontal="center"/>
      <protection/>
    </xf>
    <xf numFmtId="39" fontId="18" fillId="0" borderId="27" xfId="0" applyNumberFormat="1" applyFont="1" applyFill="1" applyBorder="1" applyAlignment="1">
      <alignment horizontal="left"/>
    </xf>
    <xf numFmtId="39" fontId="16" fillId="0" borderId="0" xfId="2587" applyNumberFormat="1" applyFont="1" applyFill="1" applyBorder="1" applyAlignment="1" applyProtection="1" quotePrefix="1">
      <alignment horizontal="centerContinuous" vertical="center"/>
      <protection/>
    </xf>
    <xf numFmtId="39" fontId="10" fillId="0" borderId="0" xfId="2540" applyNumberFormat="1" applyFont="1" applyFill="1" applyBorder="1" applyAlignment="1">
      <alignment horizontal="right"/>
    </xf>
    <xf numFmtId="247" fontId="16" fillId="0" borderId="0" xfId="1602" applyNumberFormat="1" applyFont="1" applyFill="1" applyBorder="1" applyAlignment="1">
      <alignment horizontal="right"/>
    </xf>
    <xf numFmtId="203" fontId="16" fillId="0" borderId="0" xfId="2067" applyNumberFormat="1" applyFont="1" applyFill="1" applyAlignment="1">
      <alignment horizontal="left"/>
      <protection/>
    </xf>
    <xf numFmtId="203" fontId="16" fillId="0" borderId="0" xfId="2067" applyNumberFormat="1" applyFont="1" applyFill="1">
      <alignment/>
      <protection/>
    </xf>
    <xf numFmtId="203" fontId="16" fillId="0" borderId="0" xfId="2067" applyNumberFormat="1" applyFont="1" applyFill="1" applyAlignment="1" quotePrefix="1">
      <alignment horizontal="center"/>
      <protection/>
    </xf>
    <xf numFmtId="203" fontId="18" fillId="0" borderId="0" xfId="2067" applyNumberFormat="1" applyFont="1" applyFill="1" applyAlignment="1">
      <alignment horizontal="left"/>
      <protection/>
    </xf>
    <xf numFmtId="203" fontId="16" fillId="0" borderId="0" xfId="2067" applyNumberFormat="1" applyFont="1" applyFill="1" applyBorder="1" applyAlignment="1">
      <alignment horizontal="left"/>
      <protection/>
    </xf>
    <xf numFmtId="203" fontId="16" fillId="0" borderId="0" xfId="2067" applyNumberFormat="1" applyFont="1" applyFill="1" applyBorder="1" applyAlignment="1" quotePrefix="1">
      <alignment horizontal="center"/>
      <protection/>
    </xf>
    <xf numFmtId="40" fontId="18" fillId="0" borderId="0" xfId="2067" applyNumberFormat="1" applyFont="1" applyFill="1" applyBorder="1" applyAlignment="1" quotePrefix="1">
      <alignment horizontal="center"/>
      <protection/>
    </xf>
    <xf numFmtId="39" fontId="11" fillId="0" borderId="0" xfId="2067" applyNumberFormat="1" applyFont="1" applyFill="1" applyBorder="1" applyAlignment="1">
      <alignment horizontal="center"/>
      <protection/>
    </xf>
    <xf numFmtId="203" fontId="16" fillId="0" borderId="0" xfId="2067" applyNumberFormat="1" applyFont="1" applyFill="1" applyBorder="1">
      <alignment/>
      <protection/>
    </xf>
    <xf numFmtId="203" fontId="16" fillId="0" borderId="0" xfId="2089" applyNumberFormat="1" applyFont="1" applyFill="1" applyAlignment="1" quotePrefix="1">
      <alignment horizontal="left"/>
      <protection/>
    </xf>
    <xf numFmtId="203" fontId="16" fillId="0" borderId="0" xfId="2089" applyNumberFormat="1" applyFont="1" applyFill="1" applyAlignment="1" quotePrefix="1">
      <alignment horizontal="center"/>
      <protection/>
    </xf>
    <xf numFmtId="0" fontId="16" fillId="0" borderId="0" xfId="2092" applyFont="1" applyFill="1" applyAlignment="1">
      <alignment horizontal="left"/>
      <protection/>
    </xf>
    <xf numFmtId="0" fontId="16" fillId="0" borderId="0" xfId="2092" applyFont="1" applyFill="1" applyAlignment="1">
      <alignment/>
      <protection/>
    </xf>
    <xf numFmtId="39" fontId="18" fillId="0" borderId="27" xfId="2089" applyNumberFormat="1" applyFont="1" applyFill="1" applyBorder="1" applyAlignment="1">
      <alignment horizontal="centerContinuous" vertical="center"/>
      <protection/>
    </xf>
    <xf numFmtId="39" fontId="105" fillId="0" borderId="27" xfId="2089" applyNumberFormat="1" applyFont="1" applyFill="1" applyBorder="1" applyAlignment="1">
      <alignment horizontal="centerContinuous" vertical="center"/>
      <protection/>
    </xf>
    <xf numFmtId="39" fontId="18" fillId="0" borderId="25" xfId="2089" applyNumberFormat="1" applyFont="1" applyFill="1" applyBorder="1" applyAlignment="1">
      <alignment horizontal="centerContinuous"/>
      <protection/>
    </xf>
    <xf numFmtId="0" fontId="11" fillId="0" borderId="25" xfId="2092" applyFont="1" applyFill="1" applyBorder="1" applyAlignment="1">
      <alignment horizontal="centerContinuous"/>
      <protection/>
    </xf>
    <xf numFmtId="39" fontId="16" fillId="0" borderId="25" xfId="2089" applyNumberFormat="1" applyFont="1" applyFill="1" applyBorder="1" applyAlignment="1">
      <alignment horizontal="centerContinuous"/>
      <protection/>
    </xf>
    <xf numFmtId="39" fontId="11" fillId="0" borderId="27" xfId="2089" applyNumberFormat="1" applyFont="1" applyFill="1" applyBorder="1" applyAlignment="1" quotePrefix="1">
      <alignment horizontal="center"/>
      <protection/>
    </xf>
    <xf numFmtId="203" fontId="18" fillId="0" borderId="0" xfId="2089" applyNumberFormat="1" applyFont="1" applyFill="1" applyAlignment="1" quotePrefix="1">
      <alignment horizontal="left"/>
      <protection/>
    </xf>
    <xf numFmtId="203" fontId="16" fillId="0" borderId="0" xfId="2089" applyNumberFormat="1" applyFont="1" applyFill="1">
      <alignment/>
      <protection/>
    </xf>
    <xf numFmtId="43" fontId="16" fillId="0" borderId="0" xfId="1602" applyFont="1" applyFill="1" applyAlignment="1" quotePrefix="1">
      <alignment horizontal="center"/>
    </xf>
    <xf numFmtId="224" fontId="16" fillId="0" borderId="0" xfId="1602" applyNumberFormat="1" applyFont="1" applyFill="1" applyAlignment="1">
      <alignment/>
    </xf>
    <xf numFmtId="203" fontId="16" fillId="0" borderId="26" xfId="2089" applyNumberFormat="1" applyFont="1" applyFill="1" applyBorder="1">
      <alignment/>
      <protection/>
    </xf>
    <xf numFmtId="224" fontId="16" fillId="0" borderId="0" xfId="1602" applyNumberFormat="1" applyFont="1" applyFill="1" applyAlignment="1" quotePrefix="1">
      <alignment horizontal="center"/>
    </xf>
    <xf numFmtId="43" fontId="16" fillId="0" borderId="27" xfId="1602" applyNumberFormat="1" applyFont="1" applyFill="1" applyBorder="1" applyAlignment="1" quotePrefix="1">
      <alignment horizontal="center"/>
    </xf>
    <xf numFmtId="224" fontId="16" fillId="0" borderId="27" xfId="1602" applyNumberFormat="1" applyFont="1" applyFill="1" applyBorder="1" applyAlignment="1" quotePrefix="1">
      <alignment horizontal="center"/>
    </xf>
    <xf numFmtId="43" fontId="16" fillId="0" borderId="26" xfId="1602" applyNumberFormat="1" applyFont="1" applyFill="1" applyBorder="1" applyAlignment="1" quotePrefix="1">
      <alignment horizontal="center"/>
    </xf>
    <xf numFmtId="224" fontId="16" fillId="0" borderId="26" xfId="1602" applyNumberFormat="1" applyFont="1" applyFill="1" applyBorder="1" applyAlignment="1" quotePrefix="1">
      <alignment horizontal="center"/>
    </xf>
    <xf numFmtId="43" fontId="16" fillId="0" borderId="0" xfId="1602" applyNumberFormat="1" applyFont="1" applyFill="1" applyBorder="1" applyAlignment="1" quotePrefix="1">
      <alignment horizontal="center"/>
    </xf>
    <xf numFmtId="224" fontId="16" fillId="0" borderId="0" xfId="1602" applyNumberFormat="1" applyFont="1" applyFill="1" applyBorder="1" applyAlignment="1" quotePrefix="1">
      <alignment horizontal="center"/>
    </xf>
    <xf numFmtId="203" fontId="16" fillId="0" borderId="0" xfId="2089" applyNumberFormat="1" applyFont="1" applyFill="1" applyBorder="1">
      <alignment/>
      <protection/>
    </xf>
    <xf numFmtId="39" fontId="16" fillId="0" borderId="0" xfId="2089" applyNumberFormat="1" applyFont="1" applyFill="1" applyAlignment="1">
      <alignment horizontal="left"/>
      <protection/>
    </xf>
    <xf numFmtId="0" fontId="18" fillId="0" borderId="27" xfId="2092" applyFont="1" applyFill="1" applyBorder="1" applyAlignment="1">
      <alignment horizontal="centerContinuous"/>
      <protection/>
    </xf>
    <xf numFmtId="39" fontId="16" fillId="0" borderId="27" xfId="2089" applyNumberFormat="1" applyFont="1" applyFill="1" applyBorder="1" applyAlignment="1">
      <alignment horizontal="centerContinuous"/>
      <protection/>
    </xf>
    <xf numFmtId="0" fontId="18" fillId="0" borderId="25" xfId="2092" applyFont="1" applyFill="1" applyBorder="1" applyAlignment="1">
      <alignment horizontal="centerContinuous"/>
      <protection/>
    </xf>
    <xf numFmtId="203" fontId="16" fillId="0" borderId="0" xfId="2089" applyNumberFormat="1" applyFont="1" applyFill="1" applyAlignment="1">
      <alignment horizontal="left"/>
      <protection/>
    </xf>
    <xf numFmtId="39" fontId="18" fillId="0" borderId="0" xfId="2089" applyNumberFormat="1" applyFont="1" applyFill="1" applyBorder="1" applyAlignment="1">
      <alignment/>
      <protection/>
    </xf>
    <xf numFmtId="39" fontId="16" fillId="0" borderId="0" xfId="2067" applyNumberFormat="1" applyFont="1" applyFill="1" applyAlignment="1">
      <alignment horizontal="center"/>
      <protection/>
    </xf>
    <xf numFmtId="39" fontId="10" fillId="0" borderId="0" xfId="2067" applyNumberFormat="1" applyFont="1" applyFill="1" applyAlignment="1">
      <alignment horizontal="centerContinuous" vertical="center"/>
      <protection/>
    </xf>
    <xf numFmtId="39" fontId="18" fillId="0" borderId="0" xfId="2067" applyNumberFormat="1" applyFont="1" applyFill="1">
      <alignment/>
      <protection/>
    </xf>
    <xf numFmtId="40" fontId="18" fillId="0" borderId="0" xfId="2089" applyNumberFormat="1" applyFont="1" applyFill="1" applyAlignment="1">
      <alignment horizontal="center" vertical="center"/>
      <protection/>
    </xf>
    <xf numFmtId="0" fontId="18" fillId="0" borderId="0" xfId="2207" applyFont="1" applyFill="1" applyAlignment="1">
      <alignment horizontal="center" vertical="center"/>
      <protection/>
    </xf>
    <xf numFmtId="39" fontId="18" fillId="0" borderId="27" xfId="2089" applyNumberFormat="1" applyFont="1" applyFill="1" applyBorder="1" applyAlignment="1">
      <alignment horizontal="center" vertical="center"/>
      <protection/>
    </xf>
    <xf numFmtId="39" fontId="18" fillId="0" borderId="0" xfId="2089" applyNumberFormat="1" applyFont="1" applyFill="1" applyBorder="1" applyAlignment="1">
      <alignment horizontal="center" vertical="center"/>
      <protection/>
    </xf>
    <xf numFmtId="39" fontId="18" fillId="0" borderId="0" xfId="2067" applyNumberFormat="1" applyFont="1" applyFill="1" applyAlignment="1">
      <alignment horizontal="center"/>
      <protection/>
    </xf>
    <xf numFmtId="39" fontId="18" fillId="0" borderId="0" xfId="2067" applyNumberFormat="1" applyFont="1" applyFill="1" applyAlignment="1" quotePrefix="1">
      <alignment horizontal="center"/>
      <protection/>
    </xf>
    <xf numFmtId="39" fontId="18" fillId="0" borderId="0" xfId="2067" applyNumberFormat="1" applyFont="1" applyFill="1" applyBorder="1" applyAlignment="1">
      <alignment horizontal="center"/>
      <protection/>
    </xf>
    <xf numFmtId="223" fontId="16" fillId="0" borderId="0" xfId="1639" applyNumberFormat="1" applyFont="1" applyFill="1" applyAlignment="1">
      <alignment/>
    </xf>
    <xf numFmtId="223" fontId="16" fillId="0" borderId="0" xfId="1639" applyNumberFormat="1" applyFont="1" applyFill="1" applyBorder="1" applyAlignment="1">
      <alignment/>
    </xf>
    <xf numFmtId="223" fontId="16" fillId="0" borderId="25" xfId="1602" applyNumberFormat="1" applyFont="1" applyFill="1" applyBorder="1" applyAlignment="1">
      <alignment/>
    </xf>
    <xf numFmtId="223" fontId="16" fillId="0" borderId="0" xfId="1602" applyNumberFormat="1" applyFont="1" applyFill="1" applyAlignment="1">
      <alignment/>
    </xf>
    <xf numFmtId="223" fontId="16" fillId="0" borderId="25" xfId="1602" applyNumberFormat="1" applyFont="1" applyFill="1" applyBorder="1" applyAlignment="1">
      <alignment/>
    </xf>
    <xf numFmtId="223" fontId="16" fillId="0" borderId="0" xfId="1602" applyNumberFormat="1" applyFont="1" applyFill="1" applyAlignment="1">
      <alignment/>
    </xf>
    <xf numFmtId="223" fontId="16" fillId="0" borderId="28" xfId="1602" applyNumberFormat="1" applyFont="1" applyFill="1" applyBorder="1" applyAlignment="1">
      <alignment/>
    </xf>
    <xf numFmtId="223" fontId="16" fillId="0" borderId="0" xfId="1602" applyNumberFormat="1" applyFont="1" applyFill="1" applyBorder="1" applyAlignment="1">
      <alignment/>
    </xf>
    <xf numFmtId="39" fontId="2" fillId="0" borderId="0" xfId="2089" applyNumberFormat="1" applyFont="1" applyFill="1" applyAlignment="1">
      <alignment horizontal="centerContinuous"/>
      <protection/>
    </xf>
    <xf numFmtId="39" fontId="2" fillId="0" borderId="0" xfId="2089" applyNumberFormat="1" applyFont="1" applyFill="1" applyBorder="1" applyAlignment="1">
      <alignment horizontal="centerContinuous"/>
      <protection/>
    </xf>
    <xf numFmtId="39" fontId="12" fillId="0" borderId="0" xfId="2148" applyNumberFormat="1" applyFont="1" applyFill="1" applyAlignment="1">
      <alignment horizontal="centerContinuous"/>
      <protection/>
    </xf>
    <xf numFmtId="248" fontId="16" fillId="0" borderId="0" xfId="2067" applyNumberFormat="1" applyFont="1" applyFill="1" applyAlignment="1" quotePrefix="1">
      <alignment horizontal="centerContinuous" vertical="center"/>
      <protection/>
    </xf>
    <xf numFmtId="0" fontId="16" fillId="0" borderId="0" xfId="2067" applyFont="1" applyFill="1" applyAlignment="1" quotePrefix="1">
      <alignment horizontal="centerContinuous"/>
      <protection/>
    </xf>
    <xf numFmtId="0" fontId="18" fillId="0" borderId="0" xfId="2067" applyFont="1" applyFill="1">
      <alignment/>
      <protection/>
    </xf>
    <xf numFmtId="0" fontId="18" fillId="0" borderId="0" xfId="2067" applyFont="1" applyFill="1" applyAlignment="1">
      <alignment horizontal="right"/>
      <protection/>
    </xf>
    <xf numFmtId="39" fontId="11" fillId="0" borderId="0" xfId="2587" applyNumberFormat="1" applyFont="1" applyFill="1" applyBorder="1" applyAlignment="1" applyProtection="1">
      <alignment horizontal="centerContinuous" vertical="center"/>
      <protection/>
    </xf>
    <xf numFmtId="223" fontId="16" fillId="0" borderId="0" xfId="1642" applyNumberFormat="1" applyFont="1" applyFill="1" applyBorder="1" applyAlignment="1">
      <alignment vertical="center"/>
    </xf>
    <xf numFmtId="43" fontId="16" fillId="0" borderId="0" xfId="1620" applyFont="1" applyFill="1" applyBorder="1" applyAlignment="1">
      <alignment horizontal="center"/>
    </xf>
    <xf numFmtId="206" fontId="16" fillId="0" borderId="0" xfId="2067" applyNumberFormat="1" applyFont="1" applyFill="1" applyAlignment="1">
      <alignment/>
      <protection/>
    </xf>
    <xf numFmtId="43" fontId="16" fillId="0" borderId="0" xfId="2540" applyFont="1" applyFill="1" applyBorder="1" applyAlignment="1">
      <alignment/>
    </xf>
    <xf numFmtId="0" fontId="16" fillId="0" borderId="0" xfId="2067" applyFont="1" applyFill="1" applyBorder="1">
      <alignment/>
      <protection/>
    </xf>
    <xf numFmtId="243" fontId="11" fillId="0" borderId="0" xfId="2587" applyNumberFormat="1" applyFont="1" applyFill="1" applyBorder="1" applyAlignment="1" applyProtection="1">
      <alignment horizontal="center"/>
      <protection/>
    </xf>
    <xf numFmtId="199" fontId="11" fillId="0" borderId="0" xfId="2587" applyNumberFormat="1" applyFont="1" applyFill="1" applyBorder="1" applyAlignment="1" applyProtection="1">
      <alignment horizontal="center"/>
      <protection/>
    </xf>
    <xf numFmtId="40" fontId="18" fillId="0" borderId="0" xfId="1662" applyNumberFormat="1" applyFont="1" applyFill="1" applyAlignment="1">
      <alignment/>
    </xf>
    <xf numFmtId="43" fontId="18" fillId="0" borderId="0" xfId="1662" applyFont="1" applyFill="1" applyBorder="1" applyAlignment="1">
      <alignment horizontal="center"/>
    </xf>
    <xf numFmtId="199" fontId="11" fillId="0" borderId="0" xfId="2587" applyNumberFormat="1" applyFont="1" applyFill="1" applyBorder="1" applyAlignment="1" applyProtection="1">
      <alignment horizontal="centerContinuous"/>
      <protection/>
    </xf>
    <xf numFmtId="43" fontId="18" fillId="0" borderId="0" xfId="1662" applyFont="1" applyFill="1" applyBorder="1" applyAlignment="1">
      <alignment horizontal="centerContinuous"/>
    </xf>
    <xf numFmtId="40" fontId="18" fillId="0" borderId="0" xfId="2067" applyNumberFormat="1" applyFont="1" applyFill="1" applyBorder="1" applyAlignment="1">
      <alignment horizontal="center"/>
      <protection/>
    </xf>
    <xf numFmtId="43" fontId="16" fillId="0" borderId="0" xfId="2540" applyFont="1" applyFill="1" applyBorder="1" applyAlignment="1">
      <alignment/>
    </xf>
    <xf numFmtId="0" fontId="18" fillId="0" borderId="27" xfId="2089" applyFont="1" applyFill="1" applyBorder="1" applyAlignment="1">
      <alignment horizontal="centerContinuous"/>
      <protection/>
    </xf>
    <xf numFmtId="0" fontId="16" fillId="0" borderId="0" xfId="2089" applyFont="1" applyFill="1" applyAlignment="1">
      <alignment/>
      <protection/>
    </xf>
    <xf numFmtId="0" fontId="16" fillId="0" borderId="0" xfId="2067" applyFont="1" applyFill="1" applyBorder="1" applyAlignment="1">
      <alignment/>
      <protection/>
    </xf>
    <xf numFmtId="40" fontId="16" fillId="0" borderId="0" xfId="2089" applyNumberFormat="1" applyFont="1" applyFill="1" applyBorder="1" applyAlignment="1">
      <alignment/>
      <protection/>
    </xf>
    <xf numFmtId="0" fontId="16" fillId="0" borderId="0" xfId="2089" applyFont="1" applyFill="1" applyBorder="1" applyAlignment="1">
      <alignment/>
      <protection/>
    </xf>
    <xf numFmtId="0" fontId="10" fillId="0" borderId="0" xfId="2067" applyFont="1" applyFill="1">
      <alignment/>
      <protection/>
    </xf>
    <xf numFmtId="0" fontId="16" fillId="0" borderId="0" xfId="2067" applyFont="1" applyFill="1" applyAlignment="1" quotePrefix="1">
      <alignment horizontal="center"/>
      <protection/>
    </xf>
    <xf numFmtId="0" fontId="16" fillId="0" borderId="0" xfId="2089" applyFont="1" applyFill="1" applyAlignment="1">
      <alignment horizontal="left"/>
      <protection/>
    </xf>
    <xf numFmtId="223" fontId="12" fillId="0" borderId="0" xfId="1642" applyNumberFormat="1" applyFont="1" applyFill="1" applyBorder="1" applyAlignment="1">
      <alignment horizontal="center"/>
    </xf>
    <xf numFmtId="0" fontId="16" fillId="0" borderId="0" xfId="1642" applyNumberFormat="1" applyFont="1" applyFill="1" applyBorder="1" applyAlignment="1">
      <alignment/>
    </xf>
    <xf numFmtId="40" fontId="18" fillId="0" borderId="0" xfId="1662" applyNumberFormat="1" applyFont="1" applyFill="1" applyBorder="1" applyAlignment="1">
      <alignment horizontal="center"/>
    </xf>
    <xf numFmtId="0" fontId="16" fillId="0" borderId="27" xfId="2067" applyFont="1" applyFill="1" applyBorder="1">
      <alignment/>
      <protection/>
    </xf>
    <xf numFmtId="43" fontId="18" fillId="0" borderId="27" xfId="1662" applyFont="1" applyFill="1" applyBorder="1" applyAlignment="1">
      <alignment horizontal="center"/>
    </xf>
    <xf numFmtId="43" fontId="18" fillId="0" borderId="27" xfId="1662" applyFont="1" applyFill="1" applyBorder="1" applyAlignment="1">
      <alignment horizontal="centerContinuous"/>
    </xf>
    <xf numFmtId="223" fontId="16" fillId="0" borderId="0" xfId="2540" applyNumberFormat="1" applyFont="1" applyFill="1" applyBorder="1" applyAlignment="1">
      <alignment horizontal="center"/>
    </xf>
    <xf numFmtId="223" fontId="16" fillId="0" borderId="0" xfId="2540" applyNumberFormat="1" applyFont="1" applyFill="1" applyBorder="1" applyAlignment="1">
      <alignment horizontal="right"/>
    </xf>
    <xf numFmtId="2" fontId="10" fillId="0" borderId="0" xfId="1620" applyNumberFormat="1" applyFont="1" applyFill="1" applyBorder="1" applyAlignment="1">
      <alignment horizontal="right"/>
    </xf>
    <xf numFmtId="0" fontId="16" fillId="0" borderId="0" xfId="2067" applyFont="1" applyFill="1" applyAlignment="1">
      <alignment horizontal="left"/>
      <protection/>
    </xf>
    <xf numFmtId="43" fontId="10" fillId="0" borderId="0" xfId="2540" applyFont="1" applyFill="1" applyBorder="1" applyAlignment="1">
      <alignment/>
    </xf>
    <xf numFmtId="43" fontId="10" fillId="0" borderId="0" xfId="1662" applyFont="1" applyFill="1" applyBorder="1" applyAlignment="1">
      <alignment/>
    </xf>
    <xf numFmtId="0" fontId="10" fillId="0" borderId="0" xfId="2067" applyFont="1" applyFill="1" applyBorder="1">
      <alignment/>
      <protection/>
    </xf>
    <xf numFmtId="0" fontId="11" fillId="0" borderId="0" xfId="2067" applyFont="1" applyFill="1" applyAlignment="1">
      <alignment horizontal="right"/>
      <protection/>
    </xf>
    <xf numFmtId="0" fontId="10" fillId="0" borderId="0" xfId="2575" applyFont="1" applyFill="1">
      <alignment/>
      <protection/>
    </xf>
    <xf numFmtId="0" fontId="10" fillId="0" borderId="0" xfId="2575" applyFont="1" applyFill="1" applyAlignment="1" quotePrefix="1">
      <alignment horizontal="centerContinuous"/>
      <protection/>
    </xf>
    <xf numFmtId="212" fontId="10" fillId="0" borderId="0" xfId="2587" applyNumberFormat="1" applyFont="1" applyFill="1" applyBorder="1" applyAlignment="1" applyProtection="1">
      <alignment/>
      <protection/>
    </xf>
    <xf numFmtId="0" fontId="16" fillId="0" borderId="0" xfId="2089" applyFont="1" applyFill="1">
      <alignment/>
      <protection/>
    </xf>
    <xf numFmtId="43" fontId="16" fillId="0" borderId="0" xfId="1662" applyFont="1" applyFill="1" applyBorder="1" applyAlignment="1">
      <alignment/>
    </xf>
    <xf numFmtId="201" fontId="16" fillId="0" borderId="0" xfId="2067" applyNumberFormat="1" applyFont="1" applyFill="1" applyBorder="1" applyAlignment="1">
      <alignment/>
      <protection/>
    </xf>
    <xf numFmtId="40" fontId="16" fillId="0" borderId="0" xfId="2587" applyNumberFormat="1" applyFont="1" applyFill="1" applyAlignment="1">
      <alignment/>
      <protection/>
    </xf>
    <xf numFmtId="0" fontId="16" fillId="0" borderId="0" xfId="2067" applyFont="1" applyFill="1" applyAlignment="1">
      <alignment wrapText="1"/>
      <protection/>
    </xf>
    <xf numFmtId="43" fontId="16" fillId="0" borderId="0" xfId="1620" applyFont="1" applyFill="1" applyBorder="1" applyAlignment="1">
      <alignment horizontal="center" wrapText="1"/>
    </xf>
    <xf numFmtId="43" fontId="16" fillId="0" borderId="0" xfId="1662" applyFont="1" applyFill="1" applyBorder="1" applyAlignment="1">
      <alignment wrapText="1"/>
    </xf>
    <xf numFmtId="0" fontId="16" fillId="0" borderId="0" xfId="2089" applyFont="1" applyFill="1" applyAlignment="1">
      <alignment wrapText="1"/>
      <protection/>
    </xf>
    <xf numFmtId="0" fontId="12" fillId="0" borderId="0" xfId="2067" applyFont="1" applyFill="1">
      <alignment/>
      <protection/>
    </xf>
    <xf numFmtId="199" fontId="12" fillId="0" borderId="0" xfId="2067" applyNumberFormat="1" applyFont="1" applyFill="1" applyAlignment="1">
      <alignment/>
      <protection/>
    </xf>
    <xf numFmtId="0" fontId="22" fillId="0" borderId="0" xfId="2067" applyFont="1" applyFill="1" applyAlignment="1">
      <alignment horizontal="right"/>
      <protection/>
    </xf>
    <xf numFmtId="249" fontId="2" fillId="0" borderId="0" xfId="1620" applyNumberFormat="1" applyFont="1" applyFill="1" applyBorder="1" applyAlignment="1">
      <alignment horizontal="right"/>
    </xf>
    <xf numFmtId="0" fontId="18" fillId="0" borderId="0" xfId="2184" applyFont="1" applyFill="1" applyBorder="1" applyAlignment="1">
      <alignment horizontal="centerContinuous" vertical="center"/>
      <protection/>
    </xf>
    <xf numFmtId="39" fontId="11" fillId="0" borderId="0" xfId="2089" applyNumberFormat="1" applyFont="1" applyFill="1" applyBorder="1" applyAlignment="1">
      <alignment horizontal="centerContinuous" vertical="center"/>
      <protection/>
    </xf>
    <xf numFmtId="39" fontId="19" fillId="0" borderId="0" xfId="2067" applyNumberFormat="1" applyFont="1" applyFill="1" applyAlignment="1">
      <alignment/>
      <protection/>
    </xf>
    <xf numFmtId="39" fontId="64" fillId="0" borderId="0" xfId="2067" applyNumberFormat="1" applyFont="1" applyFill="1" applyAlignment="1">
      <alignment/>
      <protection/>
    </xf>
    <xf numFmtId="223" fontId="16" fillId="0" borderId="28" xfId="2540" applyNumberFormat="1" applyFont="1" applyFill="1" applyBorder="1" applyAlignment="1">
      <alignment/>
    </xf>
    <xf numFmtId="39" fontId="18" fillId="0" borderId="0" xfId="0" applyNumberFormat="1" applyFont="1" applyFill="1" applyBorder="1" applyAlignment="1">
      <alignment horizontal="left"/>
    </xf>
    <xf numFmtId="40" fontId="18" fillId="0" borderId="27" xfId="1662" applyNumberFormat="1" applyFont="1" applyFill="1" applyBorder="1" applyAlignment="1">
      <alignment/>
    </xf>
    <xf numFmtId="40" fontId="3" fillId="0" borderId="0" xfId="1662" applyNumberFormat="1" applyFont="1" applyFill="1" applyBorder="1" applyAlignment="1">
      <alignment horizontal="centerContinuous"/>
    </xf>
    <xf numFmtId="0" fontId="18" fillId="0" borderId="0" xfId="2089" applyFont="1" applyFill="1" applyBorder="1" applyAlignment="1">
      <alignment horizontal="centerContinuous"/>
      <protection/>
    </xf>
    <xf numFmtId="0" fontId="12" fillId="0" borderId="0" xfId="2067" applyFont="1" applyFill="1" applyBorder="1">
      <alignment/>
      <protection/>
    </xf>
    <xf numFmtId="243" fontId="11" fillId="0" borderId="27" xfId="2587" applyNumberFormat="1" applyFont="1" applyFill="1" applyBorder="1" applyAlignment="1" applyProtection="1">
      <alignment horizontal="center"/>
      <protection/>
    </xf>
    <xf numFmtId="39" fontId="64" fillId="0" borderId="0" xfId="2067" applyNumberFormat="1" applyFont="1" applyFill="1" applyBorder="1" applyAlignment="1">
      <alignment/>
      <protection/>
    </xf>
    <xf numFmtId="229" fontId="2" fillId="0" borderId="0" xfId="1602" applyNumberFormat="1" applyFont="1" applyFill="1" applyBorder="1" applyAlignment="1">
      <alignment horizontal="center"/>
    </xf>
    <xf numFmtId="229" fontId="2" fillId="0" borderId="0" xfId="1602" applyNumberFormat="1" applyFont="1" applyFill="1" applyBorder="1" applyAlignment="1">
      <alignment/>
    </xf>
    <xf numFmtId="210" fontId="23" fillId="0" borderId="0" xfId="0" applyNumberFormat="1" applyFont="1" applyFill="1" applyAlignment="1" quotePrefix="1">
      <alignment/>
    </xf>
    <xf numFmtId="210" fontId="23" fillId="0" borderId="0" xfId="0" applyNumberFormat="1" applyFont="1" applyFill="1" applyAlignment="1" quotePrefix="1">
      <alignment horizontal="left"/>
    </xf>
    <xf numFmtId="243" fontId="26" fillId="0" borderId="0" xfId="2587" applyNumberFormat="1" applyFont="1" applyFill="1" applyAlignment="1" applyProtection="1">
      <alignment horizontal="center"/>
      <protection/>
    </xf>
    <xf numFmtId="199" fontId="26" fillId="0" borderId="0" xfId="2587" applyNumberFormat="1" applyFont="1" applyFill="1" applyAlignment="1" applyProtection="1">
      <alignment horizontal="center"/>
      <protection/>
    </xf>
    <xf numFmtId="199" fontId="23" fillId="0" borderId="0" xfId="2587" applyNumberFormat="1" applyFont="1" applyFill="1" applyAlignment="1" applyProtection="1">
      <alignment horizontal="center"/>
      <protection/>
    </xf>
    <xf numFmtId="39" fontId="23" fillId="0" borderId="0" xfId="2148" applyNumberFormat="1" applyFont="1" applyFill="1" applyAlignment="1">
      <alignment vertical="center"/>
      <protection/>
    </xf>
    <xf numFmtId="39" fontId="26" fillId="0" borderId="0" xfId="2587" applyNumberFormat="1" applyFont="1" applyFill="1" applyBorder="1" applyAlignment="1" applyProtection="1">
      <alignment horizontal="centerContinuous" vertical="center"/>
      <protection/>
    </xf>
    <xf numFmtId="39" fontId="26" fillId="0" borderId="0" xfId="2148" applyNumberFormat="1" applyFont="1" applyFill="1" applyAlignment="1">
      <alignment horizontal="center" vertical="center"/>
      <protection/>
    </xf>
    <xf numFmtId="39" fontId="26" fillId="0" borderId="0" xfId="2148" applyNumberFormat="1" applyFont="1" applyFill="1" applyAlignment="1">
      <alignment horizontal="centerContinuous" vertical="center"/>
      <protection/>
    </xf>
    <xf numFmtId="199" fontId="26" fillId="0" borderId="27" xfId="2587" applyNumberFormat="1" applyFont="1" applyFill="1" applyBorder="1" applyAlignment="1" applyProtection="1">
      <alignment horizontal="center"/>
      <protection/>
    </xf>
    <xf numFmtId="199" fontId="26" fillId="0" borderId="0" xfId="2587" applyNumberFormat="1" applyFont="1" applyFill="1" applyBorder="1" applyAlignment="1" applyProtection="1">
      <alignment horizontal="centerContinuous"/>
      <protection/>
    </xf>
    <xf numFmtId="0" fontId="23" fillId="0" borderId="0" xfId="0" applyFont="1" applyFill="1" applyAlignment="1" quotePrefix="1">
      <alignment horizontal="left"/>
    </xf>
    <xf numFmtId="0" fontId="16" fillId="0" borderId="0" xfId="2067" applyFont="1" applyFill="1" applyAlignment="1">
      <alignment horizontal="centerContinuous" vertical="center"/>
      <protection/>
    </xf>
    <xf numFmtId="0" fontId="10" fillId="0" borderId="0" xfId="2067" applyFont="1" applyFill="1" applyAlignment="1">
      <alignment horizontal="centerContinuous" vertical="center"/>
      <protection/>
    </xf>
    <xf numFmtId="210" fontId="23" fillId="0" borderId="0" xfId="0" applyNumberFormat="1" applyFont="1" applyFill="1" applyBorder="1" applyAlignment="1">
      <alignment horizontal="centerContinuous"/>
    </xf>
    <xf numFmtId="210" fontId="23" fillId="0" borderId="0" xfId="2587" applyNumberFormat="1" applyFont="1" applyFill="1" applyBorder="1" applyAlignment="1">
      <alignment/>
      <protection/>
    </xf>
    <xf numFmtId="0" fontId="23" fillId="0" borderId="0" xfId="0" applyFont="1" applyFill="1" applyBorder="1" applyAlignment="1">
      <alignment horizontal="right"/>
    </xf>
    <xf numFmtId="0" fontId="26" fillId="0" borderId="0" xfId="0" applyNumberFormat="1" applyFont="1" applyFill="1" applyBorder="1" applyAlignment="1">
      <alignment vertical="center"/>
    </xf>
    <xf numFmtId="210" fontId="23" fillId="0" borderId="0" xfId="1618" applyNumberFormat="1" applyFont="1" applyFill="1" applyAlignment="1">
      <alignment horizontal="center"/>
    </xf>
    <xf numFmtId="210" fontId="23" fillId="0" borderId="0" xfId="2089" applyNumberFormat="1" applyFont="1" applyFill="1" applyBorder="1" applyAlignment="1" quotePrefix="1">
      <alignment horizontal="center"/>
      <protection/>
    </xf>
    <xf numFmtId="210" fontId="23" fillId="0" borderId="0" xfId="2089" applyNumberFormat="1" applyFont="1" applyFill="1" applyBorder="1" applyAlignment="1">
      <alignment/>
      <protection/>
    </xf>
    <xf numFmtId="0" fontId="23" fillId="0" borderId="0" xfId="2194" applyFont="1" applyFill="1" applyBorder="1" applyAlignment="1">
      <alignment/>
      <protection/>
    </xf>
    <xf numFmtId="39" fontId="3" fillId="0" borderId="0" xfId="0" applyNumberFormat="1" applyFont="1" applyFill="1" applyAlignment="1">
      <alignment horizontal="center"/>
    </xf>
    <xf numFmtId="43" fontId="20" fillId="0" borderId="0" xfId="1642" applyFont="1" applyFill="1" applyBorder="1" applyAlignment="1">
      <alignment vertical="center"/>
    </xf>
    <xf numFmtId="39" fontId="3" fillId="0" borderId="27" xfId="0" applyNumberFormat="1" applyFont="1" applyFill="1" applyBorder="1" applyAlignment="1">
      <alignment/>
    </xf>
    <xf numFmtId="39" fontId="11" fillId="0" borderId="27" xfId="0" applyNumberFormat="1" applyFont="1" applyFill="1" applyBorder="1" applyAlignment="1">
      <alignment horizontal="center" vertical="center"/>
    </xf>
    <xf numFmtId="39" fontId="18" fillId="0" borderId="0" xfId="0" applyNumberFormat="1" applyFont="1" applyFill="1" applyAlignment="1" quotePrefix="1">
      <alignment horizontal="center" vertical="center"/>
    </xf>
    <xf numFmtId="0" fontId="16" fillId="0" borderId="0" xfId="0" applyFont="1" applyFill="1" applyBorder="1" applyAlignment="1">
      <alignment vertical="center"/>
    </xf>
    <xf numFmtId="194" fontId="19" fillId="0" borderId="0" xfId="1602" applyNumberFormat="1" applyFont="1" applyFill="1" applyAlignment="1">
      <alignment horizontal="right"/>
    </xf>
    <xf numFmtId="224" fontId="6" fillId="0" borderId="0" xfId="1642" applyNumberFormat="1" applyFont="1" applyFill="1" applyAlignment="1">
      <alignment horizontal="right"/>
    </xf>
    <xf numFmtId="39" fontId="10" fillId="0" borderId="0" xfId="0" applyNumberFormat="1" applyFont="1" applyFill="1" applyBorder="1" applyAlignment="1">
      <alignment horizontal="right"/>
    </xf>
    <xf numFmtId="39" fontId="2" fillId="0" borderId="0" xfId="0" applyNumberFormat="1" applyFont="1" applyFill="1" applyAlignment="1">
      <alignment horizontal="left" indent="3"/>
    </xf>
    <xf numFmtId="39" fontId="10" fillId="0" borderId="0" xfId="2089" applyNumberFormat="1" applyFont="1" applyFill="1" applyAlignment="1">
      <alignment horizontal="center"/>
      <protection/>
    </xf>
    <xf numFmtId="210" fontId="10" fillId="0" borderId="0" xfId="2089" applyNumberFormat="1" applyFont="1" applyFill="1" applyAlignment="1">
      <alignment horizontal="right"/>
      <protection/>
    </xf>
    <xf numFmtId="0" fontId="10" fillId="0" borderId="27" xfId="0" applyFont="1" applyFill="1" applyBorder="1" applyAlignment="1">
      <alignment/>
    </xf>
    <xf numFmtId="0" fontId="10" fillId="0" borderId="27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210" fontId="10" fillId="0" borderId="0" xfId="2089" applyNumberFormat="1" applyFont="1" applyFill="1" applyAlignment="1">
      <alignment horizontal="left" indent="5"/>
      <protection/>
    </xf>
    <xf numFmtId="210" fontId="10" fillId="0" borderId="0" xfId="2089" applyNumberFormat="1" applyFont="1" applyFill="1" applyAlignment="1">
      <alignment horizontal="left"/>
      <protection/>
    </xf>
    <xf numFmtId="250" fontId="10" fillId="0" borderId="0" xfId="1602" applyNumberFormat="1" applyFont="1" applyFill="1" applyAlignment="1">
      <alignment horizontal="center"/>
    </xf>
    <xf numFmtId="250" fontId="10" fillId="0" borderId="0" xfId="1602" applyNumberFormat="1" applyFont="1" applyFill="1" applyAlignment="1">
      <alignment/>
    </xf>
    <xf numFmtId="210" fontId="10" fillId="0" borderId="0" xfId="2089" applyNumberFormat="1" applyFont="1" applyFill="1" applyAlignment="1">
      <alignment horizontal="left" indent="2"/>
      <protection/>
    </xf>
    <xf numFmtId="210" fontId="23" fillId="0" borderId="0" xfId="2089" applyNumberFormat="1" applyFont="1" applyFill="1" applyAlignment="1">
      <alignment horizontal="left" indent="2"/>
      <protection/>
    </xf>
    <xf numFmtId="39" fontId="23" fillId="0" borderId="0" xfId="2089" applyNumberFormat="1" applyFont="1" applyFill="1">
      <alignment/>
      <protection/>
    </xf>
    <xf numFmtId="250" fontId="23" fillId="0" borderId="0" xfId="1602" applyNumberFormat="1" applyFont="1" applyFill="1" applyAlignment="1">
      <alignment/>
    </xf>
    <xf numFmtId="250" fontId="23" fillId="0" borderId="0" xfId="1602" applyNumberFormat="1" applyFont="1" applyFill="1" applyAlignment="1">
      <alignment horizontal="center"/>
    </xf>
    <xf numFmtId="210" fontId="23" fillId="0" borderId="0" xfId="2089" applyNumberFormat="1" applyFont="1" applyFill="1" applyAlignment="1">
      <alignment horizontal="left" indent="5"/>
      <protection/>
    </xf>
    <xf numFmtId="210" fontId="23" fillId="0" borderId="0" xfId="2089" applyNumberFormat="1" applyFont="1" applyFill="1" applyAlignment="1">
      <alignment horizontal="left"/>
      <protection/>
    </xf>
    <xf numFmtId="210" fontId="23" fillId="0" borderId="0" xfId="2089" applyNumberFormat="1" applyFont="1" applyFill="1" applyAlignment="1">
      <alignment horizontal="left" indent="1"/>
      <protection/>
    </xf>
    <xf numFmtId="39" fontId="23" fillId="0" borderId="0" xfId="2089" applyNumberFormat="1" applyFont="1" applyFill="1" applyAlignment="1">
      <alignment horizontal="center"/>
      <protection/>
    </xf>
    <xf numFmtId="210" fontId="23" fillId="0" borderId="0" xfId="2089" applyNumberFormat="1" applyFont="1" applyFill="1" applyAlignment="1">
      <alignment horizontal="right"/>
      <protection/>
    </xf>
    <xf numFmtId="0" fontId="23" fillId="0" borderId="27" xfId="0" applyFont="1" applyFill="1" applyBorder="1" applyAlignment="1">
      <alignment/>
    </xf>
    <xf numFmtId="0" fontId="23" fillId="0" borderId="27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94" fontId="16" fillId="0" borderId="0" xfId="2067" applyNumberFormat="1" applyFont="1" applyFill="1">
      <alignment/>
      <protection/>
    </xf>
    <xf numFmtId="0" fontId="10" fillId="0" borderId="0" xfId="2067" applyNumberFormat="1" applyFont="1" applyFill="1" applyBorder="1" applyAlignment="1" quotePrefix="1">
      <alignment horizontal="center"/>
      <protection/>
    </xf>
    <xf numFmtId="0" fontId="20" fillId="0" borderId="27" xfId="2119" applyFont="1" applyFill="1" applyBorder="1" applyAlignment="1">
      <alignment horizontal="center" vertical="center"/>
      <protection/>
    </xf>
    <xf numFmtId="0" fontId="2" fillId="0" borderId="0" xfId="0" applyFont="1" applyFill="1" applyAlignment="1" quotePrefix="1">
      <alignment horizontal="center"/>
    </xf>
    <xf numFmtId="0" fontId="14" fillId="0" borderId="27" xfId="2089" applyFont="1" applyFill="1" applyBorder="1" applyAlignment="1">
      <alignment horizontal="center"/>
      <protection/>
    </xf>
    <xf numFmtId="0" fontId="14" fillId="0" borderId="0" xfId="2089" applyFont="1" applyFill="1" applyAlignment="1">
      <alignment horizontal="center"/>
      <protection/>
    </xf>
    <xf numFmtId="0" fontId="14" fillId="0" borderId="0" xfId="2089" applyFont="1" applyFill="1" applyBorder="1" applyAlignment="1">
      <alignment horizontal="center"/>
      <protection/>
    </xf>
    <xf numFmtId="0" fontId="12" fillId="0" borderId="0" xfId="0" applyFont="1" applyFill="1" applyAlignment="1" quotePrefix="1">
      <alignment horizontal="center"/>
    </xf>
  </cellXfs>
  <cellStyles count="2602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2 2" xfId="21"/>
    <cellStyle name="20% - Accent1 13" xfId="22"/>
    <cellStyle name="20% - Accent1 13 2" xfId="23"/>
    <cellStyle name="20% - Accent1 14" xfId="24"/>
    <cellStyle name="20% - Accent1 14 2" xfId="25"/>
    <cellStyle name="20% - Accent1 15" xfId="26"/>
    <cellStyle name="20% - Accent1 15 2" xfId="27"/>
    <cellStyle name="20% - Accent1 16" xfId="28"/>
    <cellStyle name="20% - Accent1 16 2" xfId="29"/>
    <cellStyle name="20% - Accent1 17" xfId="30"/>
    <cellStyle name="20% - Accent1 17 2" xfId="31"/>
    <cellStyle name="20% - Accent1 18" xfId="32"/>
    <cellStyle name="20% - Accent1 18 2" xfId="33"/>
    <cellStyle name="20% - Accent1 19" xfId="34"/>
    <cellStyle name="20% - Accent1 19 2" xfId="35"/>
    <cellStyle name="20% - Accent1 2" xfId="36"/>
    <cellStyle name="20% - Accent1 2 2" xfId="37"/>
    <cellStyle name="20% - Accent1 20" xfId="38"/>
    <cellStyle name="20% - Accent1 20 2" xfId="39"/>
    <cellStyle name="20% - Accent1 21" xfId="40"/>
    <cellStyle name="20% - Accent1 21 2" xfId="41"/>
    <cellStyle name="20% - Accent1 22" xfId="42"/>
    <cellStyle name="20% - Accent1 22 2" xfId="43"/>
    <cellStyle name="20% - Accent1 23" xfId="44"/>
    <cellStyle name="20% - Accent1 23 2" xfId="45"/>
    <cellStyle name="20% - Accent1 24" xfId="46"/>
    <cellStyle name="20% - Accent1 24 2" xfId="47"/>
    <cellStyle name="20% - Accent1 25" xfId="48"/>
    <cellStyle name="20% - Accent1 25 2" xfId="49"/>
    <cellStyle name="20% - Accent1 26" xfId="50"/>
    <cellStyle name="20% - Accent1 26 2" xfId="51"/>
    <cellStyle name="20% - Accent1 27" xfId="52"/>
    <cellStyle name="20% - Accent1 27 2" xfId="53"/>
    <cellStyle name="20% - Accent1 28" xfId="54"/>
    <cellStyle name="20% - Accent1 28 2" xfId="55"/>
    <cellStyle name="20% - Accent1 29" xfId="56"/>
    <cellStyle name="20% - Accent1 29 2" xfId="57"/>
    <cellStyle name="20% - Accent1 3" xfId="58"/>
    <cellStyle name="20% - Accent1 3 2" xfId="59"/>
    <cellStyle name="20% - Accent1 30" xfId="60"/>
    <cellStyle name="20% - Accent1 30 2" xfId="61"/>
    <cellStyle name="20% - Accent1 31" xfId="62"/>
    <cellStyle name="20% - Accent1 31 2" xfId="63"/>
    <cellStyle name="20% - Accent1 32" xfId="64"/>
    <cellStyle name="20% - Accent1 32 2" xfId="65"/>
    <cellStyle name="20% - Accent1 33" xfId="66"/>
    <cellStyle name="20% - Accent1 33 2" xfId="67"/>
    <cellStyle name="20% - Accent1 34" xfId="68"/>
    <cellStyle name="20% - Accent1 34 2" xfId="69"/>
    <cellStyle name="20% - Accent1 35" xfId="70"/>
    <cellStyle name="20% - Accent1 35 2" xfId="71"/>
    <cellStyle name="20% - Accent1 36" xfId="72"/>
    <cellStyle name="20% - Accent1 36 2" xfId="73"/>
    <cellStyle name="20% - Accent1 37" xfId="74"/>
    <cellStyle name="20% - Accent1 37 2" xfId="75"/>
    <cellStyle name="20% - Accent1 38" xfId="76"/>
    <cellStyle name="20% - Accent1 38 2" xfId="77"/>
    <cellStyle name="20% - Accent1 39" xfId="78"/>
    <cellStyle name="20% - Accent1 39 2" xfId="79"/>
    <cellStyle name="20% - Accent1 4" xfId="80"/>
    <cellStyle name="20% - Accent1 4 2" xfId="81"/>
    <cellStyle name="20% - Accent1 40" xfId="82"/>
    <cellStyle name="20% - Accent1 41" xfId="83"/>
    <cellStyle name="20% - Accent1 5" xfId="84"/>
    <cellStyle name="20% - Accent1 5 2" xfId="85"/>
    <cellStyle name="20% - Accent1 6" xfId="86"/>
    <cellStyle name="20% - Accent1 6 2" xfId="87"/>
    <cellStyle name="20% - Accent1 7" xfId="88"/>
    <cellStyle name="20% - Accent1 7 2" xfId="89"/>
    <cellStyle name="20% - Accent1 8" xfId="90"/>
    <cellStyle name="20% - Accent1 8 2" xfId="91"/>
    <cellStyle name="20% - Accent1 9" xfId="92"/>
    <cellStyle name="20% - Accent1 9 2" xfId="93"/>
    <cellStyle name="20% - Accent2" xfId="94"/>
    <cellStyle name="20% - Accent2 10" xfId="95"/>
    <cellStyle name="20% - Accent2 10 2" xfId="96"/>
    <cellStyle name="20% - Accent2 11" xfId="97"/>
    <cellStyle name="20% - Accent2 11 2" xfId="98"/>
    <cellStyle name="20% - Accent2 12" xfId="99"/>
    <cellStyle name="20% - Accent2 12 2" xfId="100"/>
    <cellStyle name="20% - Accent2 13" xfId="101"/>
    <cellStyle name="20% - Accent2 13 2" xfId="102"/>
    <cellStyle name="20% - Accent2 14" xfId="103"/>
    <cellStyle name="20% - Accent2 14 2" xfId="104"/>
    <cellStyle name="20% - Accent2 15" xfId="105"/>
    <cellStyle name="20% - Accent2 15 2" xfId="106"/>
    <cellStyle name="20% - Accent2 16" xfId="107"/>
    <cellStyle name="20% - Accent2 16 2" xfId="108"/>
    <cellStyle name="20% - Accent2 17" xfId="109"/>
    <cellStyle name="20% - Accent2 17 2" xfId="110"/>
    <cellStyle name="20% - Accent2 18" xfId="111"/>
    <cellStyle name="20% - Accent2 18 2" xfId="112"/>
    <cellStyle name="20% - Accent2 19" xfId="113"/>
    <cellStyle name="20% - Accent2 19 2" xfId="114"/>
    <cellStyle name="20% - Accent2 2" xfId="115"/>
    <cellStyle name="20% - Accent2 2 2" xfId="116"/>
    <cellStyle name="20% - Accent2 20" xfId="117"/>
    <cellStyle name="20% - Accent2 20 2" xfId="118"/>
    <cellStyle name="20% - Accent2 21" xfId="119"/>
    <cellStyle name="20% - Accent2 21 2" xfId="120"/>
    <cellStyle name="20% - Accent2 22" xfId="121"/>
    <cellStyle name="20% - Accent2 22 2" xfId="122"/>
    <cellStyle name="20% - Accent2 23" xfId="123"/>
    <cellStyle name="20% - Accent2 23 2" xfId="124"/>
    <cellStyle name="20% - Accent2 24" xfId="125"/>
    <cellStyle name="20% - Accent2 24 2" xfId="126"/>
    <cellStyle name="20% - Accent2 25" xfId="127"/>
    <cellStyle name="20% - Accent2 25 2" xfId="128"/>
    <cellStyle name="20% - Accent2 26" xfId="129"/>
    <cellStyle name="20% - Accent2 26 2" xfId="130"/>
    <cellStyle name="20% - Accent2 27" xfId="131"/>
    <cellStyle name="20% - Accent2 27 2" xfId="132"/>
    <cellStyle name="20% - Accent2 28" xfId="133"/>
    <cellStyle name="20% - Accent2 28 2" xfId="134"/>
    <cellStyle name="20% - Accent2 29" xfId="135"/>
    <cellStyle name="20% - Accent2 29 2" xfId="136"/>
    <cellStyle name="20% - Accent2 3" xfId="137"/>
    <cellStyle name="20% - Accent2 3 2" xfId="138"/>
    <cellStyle name="20% - Accent2 30" xfId="139"/>
    <cellStyle name="20% - Accent2 30 2" xfId="140"/>
    <cellStyle name="20% - Accent2 31" xfId="141"/>
    <cellStyle name="20% - Accent2 31 2" xfId="142"/>
    <cellStyle name="20% - Accent2 32" xfId="143"/>
    <cellStyle name="20% - Accent2 32 2" xfId="144"/>
    <cellStyle name="20% - Accent2 33" xfId="145"/>
    <cellStyle name="20% - Accent2 33 2" xfId="146"/>
    <cellStyle name="20% - Accent2 34" xfId="147"/>
    <cellStyle name="20% - Accent2 34 2" xfId="148"/>
    <cellStyle name="20% - Accent2 35" xfId="149"/>
    <cellStyle name="20% - Accent2 35 2" xfId="150"/>
    <cellStyle name="20% - Accent2 36" xfId="151"/>
    <cellStyle name="20% - Accent2 36 2" xfId="152"/>
    <cellStyle name="20% - Accent2 37" xfId="153"/>
    <cellStyle name="20% - Accent2 37 2" xfId="154"/>
    <cellStyle name="20% - Accent2 38" xfId="155"/>
    <cellStyle name="20% - Accent2 38 2" xfId="156"/>
    <cellStyle name="20% - Accent2 39" xfId="157"/>
    <cellStyle name="20% - Accent2 39 2" xfId="158"/>
    <cellStyle name="20% - Accent2 4" xfId="159"/>
    <cellStyle name="20% - Accent2 4 2" xfId="160"/>
    <cellStyle name="20% - Accent2 40" xfId="161"/>
    <cellStyle name="20% - Accent2 41" xfId="162"/>
    <cellStyle name="20% - Accent2 5" xfId="163"/>
    <cellStyle name="20% - Accent2 5 2" xfId="164"/>
    <cellStyle name="20% - Accent2 6" xfId="165"/>
    <cellStyle name="20% - Accent2 6 2" xfId="166"/>
    <cellStyle name="20% - Accent2 7" xfId="167"/>
    <cellStyle name="20% - Accent2 7 2" xfId="168"/>
    <cellStyle name="20% - Accent2 8" xfId="169"/>
    <cellStyle name="20% - Accent2 8 2" xfId="170"/>
    <cellStyle name="20% - Accent2 9" xfId="171"/>
    <cellStyle name="20% - Accent2 9 2" xfId="172"/>
    <cellStyle name="20% - Accent3" xfId="173"/>
    <cellStyle name="20% - Accent3 10" xfId="174"/>
    <cellStyle name="20% - Accent3 10 2" xfId="175"/>
    <cellStyle name="20% - Accent3 11" xfId="176"/>
    <cellStyle name="20% - Accent3 11 2" xfId="177"/>
    <cellStyle name="20% - Accent3 12" xfId="178"/>
    <cellStyle name="20% - Accent3 12 2" xfId="179"/>
    <cellStyle name="20% - Accent3 13" xfId="180"/>
    <cellStyle name="20% - Accent3 13 2" xfId="181"/>
    <cellStyle name="20% - Accent3 14" xfId="182"/>
    <cellStyle name="20% - Accent3 14 2" xfId="183"/>
    <cellStyle name="20% - Accent3 15" xfId="184"/>
    <cellStyle name="20% - Accent3 15 2" xfId="185"/>
    <cellStyle name="20% - Accent3 16" xfId="186"/>
    <cellStyle name="20% - Accent3 16 2" xfId="187"/>
    <cellStyle name="20% - Accent3 17" xfId="188"/>
    <cellStyle name="20% - Accent3 17 2" xfId="189"/>
    <cellStyle name="20% - Accent3 18" xfId="190"/>
    <cellStyle name="20% - Accent3 18 2" xfId="191"/>
    <cellStyle name="20% - Accent3 19" xfId="192"/>
    <cellStyle name="20% - Accent3 19 2" xfId="193"/>
    <cellStyle name="20% - Accent3 2" xfId="194"/>
    <cellStyle name="20% - Accent3 2 2" xfId="195"/>
    <cellStyle name="20% - Accent3 20" xfId="196"/>
    <cellStyle name="20% - Accent3 20 2" xfId="197"/>
    <cellStyle name="20% - Accent3 21" xfId="198"/>
    <cellStyle name="20% - Accent3 21 2" xfId="199"/>
    <cellStyle name="20% - Accent3 22" xfId="200"/>
    <cellStyle name="20% - Accent3 22 2" xfId="201"/>
    <cellStyle name="20% - Accent3 23" xfId="202"/>
    <cellStyle name="20% - Accent3 23 2" xfId="203"/>
    <cellStyle name="20% - Accent3 24" xfId="204"/>
    <cellStyle name="20% - Accent3 24 2" xfId="205"/>
    <cellStyle name="20% - Accent3 25" xfId="206"/>
    <cellStyle name="20% - Accent3 25 2" xfId="207"/>
    <cellStyle name="20% - Accent3 26" xfId="208"/>
    <cellStyle name="20% - Accent3 26 2" xfId="209"/>
    <cellStyle name="20% - Accent3 27" xfId="210"/>
    <cellStyle name="20% - Accent3 27 2" xfId="211"/>
    <cellStyle name="20% - Accent3 28" xfId="212"/>
    <cellStyle name="20% - Accent3 28 2" xfId="213"/>
    <cellStyle name="20% - Accent3 29" xfId="214"/>
    <cellStyle name="20% - Accent3 29 2" xfId="215"/>
    <cellStyle name="20% - Accent3 3" xfId="216"/>
    <cellStyle name="20% - Accent3 3 2" xfId="217"/>
    <cellStyle name="20% - Accent3 30" xfId="218"/>
    <cellStyle name="20% - Accent3 30 2" xfId="219"/>
    <cellStyle name="20% - Accent3 31" xfId="220"/>
    <cellStyle name="20% - Accent3 31 2" xfId="221"/>
    <cellStyle name="20% - Accent3 32" xfId="222"/>
    <cellStyle name="20% - Accent3 32 2" xfId="223"/>
    <cellStyle name="20% - Accent3 33" xfId="224"/>
    <cellStyle name="20% - Accent3 33 2" xfId="225"/>
    <cellStyle name="20% - Accent3 34" xfId="226"/>
    <cellStyle name="20% - Accent3 34 2" xfId="227"/>
    <cellStyle name="20% - Accent3 35" xfId="228"/>
    <cellStyle name="20% - Accent3 35 2" xfId="229"/>
    <cellStyle name="20% - Accent3 36" xfId="230"/>
    <cellStyle name="20% - Accent3 36 2" xfId="231"/>
    <cellStyle name="20% - Accent3 37" xfId="232"/>
    <cellStyle name="20% - Accent3 37 2" xfId="233"/>
    <cellStyle name="20% - Accent3 38" xfId="234"/>
    <cellStyle name="20% - Accent3 38 2" xfId="235"/>
    <cellStyle name="20% - Accent3 39" xfId="236"/>
    <cellStyle name="20% - Accent3 39 2" xfId="237"/>
    <cellStyle name="20% - Accent3 4" xfId="238"/>
    <cellStyle name="20% - Accent3 4 2" xfId="239"/>
    <cellStyle name="20% - Accent3 40" xfId="240"/>
    <cellStyle name="20% - Accent3 41" xfId="241"/>
    <cellStyle name="20% - Accent3 5" xfId="242"/>
    <cellStyle name="20% - Accent3 5 2" xfId="243"/>
    <cellStyle name="20% - Accent3 6" xfId="244"/>
    <cellStyle name="20% - Accent3 6 2" xfId="245"/>
    <cellStyle name="20% - Accent3 7" xfId="246"/>
    <cellStyle name="20% - Accent3 7 2" xfId="247"/>
    <cellStyle name="20% - Accent3 8" xfId="248"/>
    <cellStyle name="20% - Accent3 8 2" xfId="249"/>
    <cellStyle name="20% - Accent3 9" xfId="250"/>
    <cellStyle name="20% - Accent3 9 2" xfId="251"/>
    <cellStyle name="20% - Accent4" xfId="252"/>
    <cellStyle name="20% - Accent4 10" xfId="253"/>
    <cellStyle name="20% - Accent4 10 2" xfId="254"/>
    <cellStyle name="20% - Accent4 11" xfId="255"/>
    <cellStyle name="20% - Accent4 11 2" xfId="256"/>
    <cellStyle name="20% - Accent4 12" xfId="257"/>
    <cellStyle name="20% - Accent4 12 2" xfId="258"/>
    <cellStyle name="20% - Accent4 13" xfId="259"/>
    <cellStyle name="20% - Accent4 13 2" xfId="260"/>
    <cellStyle name="20% - Accent4 14" xfId="261"/>
    <cellStyle name="20% - Accent4 14 2" xfId="262"/>
    <cellStyle name="20% - Accent4 15" xfId="263"/>
    <cellStyle name="20% - Accent4 15 2" xfId="264"/>
    <cellStyle name="20% - Accent4 16" xfId="265"/>
    <cellStyle name="20% - Accent4 16 2" xfId="266"/>
    <cellStyle name="20% - Accent4 17" xfId="267"/>
    <cellStyle name="20% - Accent4 17 2" xfId="268"/>
    <cellStyle name="20% - Accent4 18" xfId="269"/>
    <cellStyle name="20% - Accent4 18 2" xfId="270"/>
    <cellStyle name="20% - Accent4 19" xfId="271"/>
    <cellStyle name="20% - Accent4 19 2" xfId="272"/>
    <cellStyle name="20% - Accent4 2" xfId="273"/>
    <cellStyle name="20% - Accent4 2 2" xfId="274"/>
    <cellStyle name="20% - Accent4 20" xfId="275"/>
    <cellStyle name="20% - Accent4 20 2" xfId="276"/>
    <cellStyle name="20% - Accent4 21" xfId="277"/>
    <cellStyle name="20% - Accent4 21 2" xfId="278"/>
    <cellStyle name="20% - Accent4 22" xfId="279"/>
    <cellStyle name="20% - Accent4 22 2" xfId="280"/>
    <cellStyle name="20% - Accent4 23" xfId="281"/>
    <cellStyle name="20% - Accent4 23 2" xfId="282"/>
    <cellStyle name="20% - Accent4 24" xfId="283"/>
    <cellStyle name="20% - Accent4 24 2" xfId="284"/>
    <cellStyle name="20% - Accent4 25" xfId="285"/>
    <cellStyle name="20% - Accent4 25 2" xfId="286"/>
    <cellStyle name="20% - Accent4 26" xfId="287"/>
    <cellStyle name="20% - Accent4 26 2" xfId="288"/>
    <cellStyle name="20% - Accent4 27" xfId="289"/>
    <cellStyle name="20% - Accent4 27 2" xfId="290"/>
    <cellStyle name="20% - Accent4 28" xfId="291"/>
    <cellStyle name="20% - Accent4 28 2" xfId="292"/>
    <cellStyle name="20% - Accent4 29" xfId="293"/>
    <cellStyle name="20% - Accent4 29 2" xfId="294"/>
    <cellStyle name="20% - Accent4 3" xfId="295"/>
    <cellStyle name="20% - Accent4 3 2" xfId="296"/>
    <cellStyle name="20% - Accent4 30" xfId="297"/>
    <cellStyle name="20% - Accent4 30 2" xfId="298"/>
    <cellStyle name="20% - Accent4 31" xfId="299"/>
    <cellStyle name="20% - Accent4 31 2" xfId="300"/>
    <cellStyle name="20% - Accent4 32" xfId="301"/>
    <cellStyle name="20% - Accent4 32 2" xfId="302"/>
    <cellStyle name="20% - Accent4 33" xfId="303"/>
    <cellStyle name="20% - Accent4 33 2" xfId="304"/>
    <cellStyle name="20% - Accent4 34" xfId="305"/>
    <cellStyle name="20% - Accent4 34 2" xfId="306"/>
    <cellStyle name="20% - Accent4 35" xfId="307"/>
    <cellStyle name="20% - Accent4 35 2" xfId="308"/>
    <cellStyle name="20% - Accent4 36" xfId="309"/>
    <cellStyle name="20% - Accent4 36 2" xfId="310"/>
    <cellStyle name="20% - Accent4 37" xfId="311"/>
    <cellStyle name="20% - Accent4 37 2" xfId="312"/>
    <cellStyle name="20% - Accent4 38" xfId="313"/>
    <cellStyle name="20% - Accent4 38 2" xfId="314"/>
    <cellStyle name="20% - Accent4 39" xfId="315"/>
    <cellStyle name="20% - Accent4 39 2" xfId="316"/>
    <cellStyle name="20% - Accent4 4" xfId="317"/>
    <cellStyle name="20% - Accent4 4 2" xfId="318"/>
    <cellStyle name="20% - Accent4 40" xfId="319"/>
    <cellStyle name="20% - Accent4 41" xfId="320"/>
    <cellStyle name="20% - Accent4 5" xfId="321"/>
    <cellStyle name="20% - Accent4 5 2" xfId="322"/>
    <cellStyle name="20% - Accent4 6" xfId="323"/>
    <cellStyle name="20% - Accent4 6 2" xfId="324"/>
    <cellStyle name="20% - Accent4 7" xfId="325"/>
    <cellStyle name="20% - Accent4 7 2" xfId="326"/>
    <cellStyle name="20% - Accent4 8" xfId="327"/>
    <cellStyle name="20% - Accent4 8 2" xfId="328"/>
    <cellStyle name="20% - Accent4 9" xfId="329"/>
    <cellStyle name="20% - Accent4 9 2" xfId="330"/>
    <cellStyle name="20% - Accent5" xfId="331"/>
    <cellStyle name="20% - Accent5 10" xfId="332"/>
    <cellStyle name="20% - Accent5 10 2" xfId="333"/>
    <cellStyle name="20% - Accent5 11" xfId="334"/>
    <cellStyle name="20% - Accent5 11 2" xfId="335"/>
    <cellStyle name="20% - Accent5 12" xfId="336"/>
    <cellStyle name="20% - Accent5 12 2" xfId="337"/>
    <cellStyle name="20% - Accent5 13" xfId="338"/>
    <cellStyle name="20% - Accent5 13 2" xfId="339"/>
    <cellStyle name="20% - Accent5 14" xfId="340"/>
    <cellStyle name="20% - Accent5 14 2" xfId="341"/>
    <cellStyle name="20% - Accent5 15" xfId="342"/>
    <cellStyle name="20% - Accent5 15 2" xfId="343"/>
    <cellStyle name="20% - Accent5 16" xfId="344"/>
    <cellStyle name="20% - Accent5 16 2" xfId="345"/>
    <cellStyle name="20% - Accent5 17" xfId="346"/>
    <cellStyle name="20% - Accent5 17 2" xfId="347"/>
    <cellStyle name="20% - Accent5 18" xfId="348"/>
    <cellStyle name="20% - Accent5 18 2" xfId="349"/>
    <cellStyle name="20% - Accent5 19" xfId="350"/>
    <cellStyle name="20% - Accent5 19 2" xfId="351"/>
    <cellStyle name="20% - Accent5 2" xfId="352"/>
    <cellStyle name="20% - Accent5 2 2" xfId="353"/>
    <cellStyle name="20% - Accent5 20" xfId="354"/>
    <cellStyle name="20% - Accent5 20 2" xfId="355"/>
    <cellStyle name="20% - Accent5 21" xfId="356"/>
    <cellStyle name="20% - Accent5 21 2" xfId="357"/>
    <cellStyle name="20% - Accent5 22" xfId="358"/>
    <cellStyle name="20% - Accent5 22 2" xfId="359"/>
    <cellStyle name="20% - Accent5 23" xfId="360"/>
    <cellStyle name="20% - Accent5 23 2" xfId="361"/>
    <cellStyle name="20% - Accent5 24" xfId="362"/>
    <cellStyle name="20% - Accent5 24 2" xfId="363"/>
    <cellStyle name="20% - Accent5 25" xfId="364"/>
    <cellStyle name="20% - Accent5 25 2" xfId="365"/>
    <cellStyle name="20% - Accent5 26" xfId="366"/>
    <cellStyle name="20% - Accent5 26 2" xfId="367"/>
    <cellStyle name="20% - Accent5 27" xfId="368"/>
    <cellStyle name="20% - Accent5 27 2" xfId="369"/>
    <cellStyle name="20% - Accent5 28" xfId="370"/>
    <cellStyle name="20% - Accent5 28 2" xfId="371"/>
    <cellStyle name="20% - Accent5 29" xfId="372"/>
    <cellStyle name="20% - Accent5 29 2" xfId="373"/>
    <cellStyle name="20% - Accent5 3" xfId="374"/>
    <cellStyle name="20% - Accent5 3 2" xfId="375"/>
    <cellStyle name="20% - Accent5 30" xfId="376"/>
    <cellStyle name="20% - Accent5 30 2" xfId="377"/>
    <cellStyle name="20% - Accent5 31" xfId="378"/>
    <cellStyle name="20% - Accent5 31 2" xfId="379"/>
    <cellStyle name="20% - Accent5 32" xfId="380"/>
    <cellStyle name="20% - Accent5 32 2" xfId="381"/>
    <cellStyle name="20% - Accent5 33" xfId="382"/>
    <cellStyle name="20% - Accent5 33 2" xfId="383"/>
    <cellStyle name="20% - Accent5 34" xfId="384"/>
    <cellStyle name="20% - Accent5 34 2" xfId="385"/>
    <cellStyle name="20% - Accent5 35" xfId="386"/>
    <cellStyle name="20% - Accent5 35 2" xfId="387"/>
    <cellStyle name="20% - Accent5 36" xfId="388"/>
    <cellStyle name="20% - Accent5 36 2" xfId="389"/>
    <cellStyle name="20% - Accent5 37" xfId="390"/>
    <cellStyle name="20% - Accent5 37 2" xfId="391"/>
    <cellStyle name="20% - Accent5 38" xfId="392"/>
    <cellStyle name="20% - Accent5 38 2" xfId="393"/>
    <cellStyle name="20% - Accent5 39" xfId="394"/>
    <cellStyle name="20% - Accent5 39 2" xfId="395"/>
    <cellStyle name="20% - Accent5 4" xfId="396"/>
    <cellStyle name="20% - Accent5 4 2" xfId="397"/>
    <cellStyle name="20% - Accent5 40" xfId="398"/>
    <cellStyle name="20% - Accent5 41" xfId="399"/>
    <cellStyle name="20% - Accent5 5" xfId="400"/>
    <cellStyle name="20% - Accent5 5 2" xfId="401"/>
    <cellStyle name="20% - Accent5 6" xfId="402"/>
    <cellStyle name="20% - Accent5 6 2" xfId="403"/>
    <cellStyle name="20% - Accent5 7" xfId="404"/>
    <cellStyle name="20% - Accent5 7 2" xfId="405"/>
    <cellStyle name="20% - Accent5 8" xfId="406"/>
    <cellStyle name="20% - Accent5 8 2" xfId="407"/>
    <cellStyle name="20% - Accent5 9" xfId="408"/>
    <cellStyle name="20% - Accent5 9 2" xfId="409"/>
    <cellStyle name="20% - Accent6" xfId="410"/>
    <cellStyle name="20% - Accent6 10" xfId="411"/>
    <cellStyle name="20% - Accent6 10 2" xfId="412"/>
    <cellStyle name="20% - Accent6 11" xfId="413"/>
    <cellStyle name="20% - Accent6 11 2" xfId="414"/>
    <cellStyle name="20% - Accent6 12" xfId="415"/>
    <cellStyle name="20% - Accent6 12 2" xfId="416"/>
    <cellStyle name="20% - Accent6 13" xfId="417"/>
    <cellStyle name="20% - Accent6 13 2" xfId="418"/>
    <cellStyle name="20% - Accent6 14" xfId="419"/>
    <cellStyle name="20% - Accent6 14 2" xfId="420"/>
    <cellStyle name="20% - Accent6 15" xfId="421"/>
    <cellStyle name="20% - Accent6 15 2" xfId="422"/>
    <cellStyle name="20% - Accent6 16" xfId="423"/>
    <cellStyle name="20% - Accent6 16 2" xfId="424"/>
    <cellStyle name="20% - Accent6 17" xfId="425"/>
    <cellStyle name="20% - Accent6 17 2" xfId="426"/>
    <cellStyle name="20% - Accent6 18" xfId="427"/>
    <cellStyle name="20% - Accent6 18 2" xfId="428"/>
    <cellStyle name="20% - Accent6 19" xfId="429"/>
    <cellStyle name="20% - Accent6 19 2" xfId="430"/>
    <cellStyle name="20% - Accent6 2" xfId="431"/>
    <cellStyle name="20% - Accent6 2 2" xfId="432"/>
    <cellStyle name="20% - Accent6 20" xfId="433"/>
    <cellStyle name="20% - Accent6 20 2" xfId="434"/>
    <cellStyle name="20% - Accent6 21" xfId="435"/>
    <cellStyle name="20% - Accent6 21 2" xfId="436"/>
    <cellStyle name="20% - Accent6 22" xfId="437"/>
    <cellStyle name="20% - Accent6 22 2" xfId="438"/>
    <cellStyle name="20% - Accent6 23" xfId="439"/>
    <cellStyle name="20% - Accent6 23 2" xfId="440"/>
    <cellStyle name="20% - Accent6 24" xfId="441"/>
    <cellStyle name="20% - Accent6 24 2" xfId="442"/>
    <cellStyle name="20% - Accent6 25" xfId="443"/>
    <cellStyle name="20% - Accent6 25 2" xfId="444"/>
    <cellStyle name="20% - Accent6 26" xfId="445"/>
    <cellStyle name="20% - Accent6 26 2" xfId="446"/>
    <cellStyle name="20% - Accent6 27" xfId="447"/>
    <cellStyle name="20% - Accent6 27 2" xfId="448"/>
    <cellStyle name="20% - Accent6 28" xfId="449"/>
    <cellStyle name="20% - Accent6 28 2" xfId="450"/>
    <cellStyle name="20% - Accent6 29" xfId="451"/>
    <cellStyle name="20% - Accent6 29 2" xfId="452"/>
    <cellStyle name="20% - Accent6 3" xfId="453"/>
    <cellStyle name="20% - Accent6 3 2" xfId="454"/>
    <cellStyle name="20% - Accent6 30" xfId="455"/>
    <cellStyle name="20% - Accent6 30 2" xfId="456"/>
    <cellStyle name="20% - Accent6 31" xfId="457"/>
    <cellStyle name="20% - Accent6 31 2" xfId="458"/>
    <cellStyle name="20% - Accent6 32" xfId="459"/>
    <cellStyle name="20% - Accent6 32 2" xfId="460"/>
    <cellStyle name="20% - Accent6 33" xfId="461"/>
    <cellStyle name="20% - Accent6 33 2" xfId="462"/>
    <cellStyle name="20% - Accent6 34" xfId="463"/>
    <cellStyle name="20% - Accent6 34 2" xfId="464"/>
    <cellStyle name="20% - Accent6 35" xfId="465"/>
    <cellStyle name="20% - Accent6 35 2" xfId="466"/>
    <cellStyle name="20% - Accent6 36" xfId="467"/>
    <cellStyle name="20% - Accent6 36 2" xfId="468"/>
    <cellStyle name="20% - Accent6 37" xfId="469"/>
    <cellStyle name="20% - Accent6 37 2" xfId="470"/>
    <cellStyle name="20% - Accent6 38" xfId="471"/>
    <cellStyle name="20% - Accent6 38 2" xfId="472"/>
    <cellStyle name="20% - Accent6 39" xfId="473"/>
    <cellStyle name="20% - Accent6 39 2" xfId="474"/>
    <cellStyle name="20% - Accent6 4" xfId="475"/>
    <cellStyle name="20% - Accent6 4 2" xfId="476"/>
    <cellStyle name="20% - Accent6 40" xfId="477"/>
    <cellStyle name="20% - Accent6 41" xfId="478"/>
    <cellStyle name="20% - Accent6 5" xfId="479"/>
    <cellStyle name="20% - Accent6 5 2" xfId="480"/>
    <cellStyle name="20% - Accent6 6" xfId="481"/>
    <cellStyle name="20% - Accent6 6 2" xfId="482"/>
    <cellStyle name="20% - Accent6 7" xfId="483"/>
    <cellStyle name="20% - Accent6 7 2" xfId="484"/>
    <cellStyle name="20% - Accent6 8" xfId="485"/>
    <cellStyle name="20% - Accent6 8 2" xfId="486"/>
    <cellStyle name="20% - Accent6 9" xfId="487"/>
    <cellStyle name="20% - Accent6 9 2" xfId="488"/>
    <cellStyle name="20% - ส่วนที่ถูกเน้น1 2" xfId="489"/>
    <cellStyle name="20% - ส่วนที่ถูกเน้น1 2 2" xfId="490"/>
    <cellStyle name="20% - ส่วนที่ถูกเน้น2 2" xfId="491"/>
    <cellStyle name="20% - ส่วนที่ถูกเน้น2 2 2" xfId="492"/>
    <cellStyle name="20% - ส่วนที่ถูกเน้น3 2" xfId="493"/>
    <cellStyle name="20% - ส่วนที่ถูกเน้น3 2 2" xfId="494"/>
    <cellStyle name="20% - ส่วนที่ถูกเน้น4 2" xfId="495"/>
    <cellStyle name="20% - ส่วนที่ถูกเน้น4 2 2" xfId="496"/>
    <cellStyle name="20% - ส่วนที่ถูกเน้น5 2" xfId="497"/>
    <cellStyle name="20% - ส่วนที่ถูกเน้น5 2 2" xfId="498"/>
    <cellStyle name="20% - ส่วนที่ถูกเน้น6 2" xfId="499"/>
    <cellStyle name="20% - ส่วนที่ถูกเน้น6 2 2" xfId="500"/>
    <cellStyle name="40% - Accent1" xfId="501"/>
    <cellStyle name="40% - Accent1 10" xfId="502"/>
    <cellStyle name="40% - Accent1 10 2" xfId="503"/>
    <cellStyle name="40% - Accent1 11" xfId="504"/>
    <cellStyle name="40% - Accent1 11 2" xfId="505"/>
    <cellStyle name="40% - Accent1 12" xfId="506"/>
    <cellStyle name="40% - Accent1 12 2" xfId="507"/>
    <cellStyle name="40% - Accent1 13" xfId="508"/>
    <cellStyle name="40% - Accent1 13 2" xfId="509"/>
    <cellStyle name="40% - Accent1 14" xfId="510"/>
    <cellStyle name="40% - Accent1 14 2" xfId="511"/>
    <cellStyle name="40% - Accent1 15" xfId="512"/>
    <cellStyle name="40% - Accent1 15 2" xfId="513"/>
    <cellStyle name="40% - Accent1 16" xfId="514"/>
    <cellStyle name="40% - Accent1 16 2" xfId="515"/>
    <cellStyle name="40% - Accent1 17" xfId="516"/>
    <cellStyle name="40% - Accent1 17 2" xfId="517"/>
    <cellStyle name="40% - Accent1 18" xfId="518"/>
    <cellStyle name="40% - Accent1 18 2" xfId="519"/>
    <cellStyle name="40% - Accent1 19" xfId="520"/>
    <cellStyle name="40% - Accent1 19 2" xfId="521"/>
    <cellStyle name="40% - Accent1 2" xfId="522"/>
    <cellStyle name="40% - Accent1 2 2" xfId="523"/>
    <cellStyle name="40% - Accent1 20" xfId="524"/>
    <cellStyle name="40% - Accent1 20 2" xfId="525"/>
    <cellStyle name="40% - Accent1 21" xfId="526"/>
    <cellStyle name="40% - Accent1 21 2" xfId="527"/>
    <cellStyle name="40% - Accent1 22" xfId="528"/>
    <cellStyle name="40% - Accent1 22 2" xfId="529"/>
    <cellStyle name="40% - Accent1 23" xfId="530"/>
    <cellStyle name="40% - Accent1 23 2" xfId="531"/>
    <cellStyle name="40% - Accent1 24" xfId="532"/>
    <cellStyle name="40% - Accent1 24 2" xfId="533"/>
    <cellStyle name="40% - Accent1 25" xfId="534"/>
    <cellStyle name="40% - Accent1 25 2" xfId="535"/>
    <cellStyle name="40% - Accent1 26" xfId="536"/>
    <cellStyle name="40% - Accent1 26 2" xfId="537"/>
    <cellStyle name="40% - Accent1 27" xfId="538"/>
    <cellStyle name="40% - Accent1 27 2" xfId="539"/>
    <cellStyle name="40% - Accent1 28" xfId="540"/>
    <cellStyle name="40% - Accent1 28 2" xfId="541"/>
    <cellStyle name="40% - Accent1 29" xfId="542"/>
    <cellStyle name="40% - Accent1 29 2" xfId="543"/>
    <cellStyle name="40% - Accent1 3" xfId="544"/>
    <cellStyle name="40% - Accent1 3 2" xfId="545"/>
    <cellStyle name="40% - Accent1 30" xfId="546"/>
    <cellStyle name="40% - Accent1 30 2" xfId="547"/>
    <cellStyle name="40% - Accent1 31" xfId="548"/>
    <cellStyle name="40% - Accent1 31 2" xfId="549"/>
    <cellStyle name="40% - Accent1 32" xfId="550"/>
    <cellStyle name="40% - Accent1 32 2" xfId="551"/>
    <cellStyle name="40% - Accent1 33" xfId="552"/>
    <cellStyle name="40% - Accent1 33 2" xfId="553"/>
    <cellStyle name="40% - Accent1 34" xfId="554"/>
    <cellStyle name="40% - Accent1 34 2" xfId="555"/>
    <cellStyle name="40% - Accent1 35" xfId="556"/>
    <cellStyle name="40% - Accent1 35 2" xfId="557"/>
    <cellStyle name="40% - Accent1 36" xfId="558"/>
    <cellStyle name="40% - Accent1 36 2" xfId="559"/>
    <cellStyle name="40% - Accent1 37" xfId="560"/>
    <cellStyle name="40% - Accent1 37 2" xfId="561"/>
    <cellStyle name="40% - Accent1 38" xfId="562"/>
    <cellStyle name="40% - Accent1 38 2" xfId="563"/>
    <cellStyle name="40% - Accent1 39" xfId="564"/>
    <cellStyle name="40% - Accent1 39 2" xfId="565"/>
    <cellStyle name="40% - Accent1 4" xfId="566"/>
    <cellStyle name="40% - Accent1 4 2" xfId="567"/>
    <cellStyle name="40% - Accent1 40" xfId="568"/>
    <cellStyle name="40% - Accent1 41" xfId="569"/>
    <cellStyle name="40% - Accent1 5" xfId="570"/>
    <cellStyle name="40% - Accent1 5 2" xfId="571"/>
    <cellStyle name="40% - Accent1 6" xfId="572"/>
    <cellStyle name="40% - Accent1 6 2" xfId="573"/>
    <cellStyle name="40% - Accent1 7" xfId="574"/>
    <cellStyle name="40% - Accent1 7 2" xfId="575"/>
    <cellStyle name="40% - Accent1 8" xfId="576"/>
    <cellStyle name="40% - Accent1 8 2" xfId="577"/>
    <cellStyle name="40% - Accent1 9" xfId="578"/>
    <cellStyle name="40% - Accent1 9 2" xfId="579"/>
    <cellStyle name="40% - Accent2" xfId="580"/>
    <cellStyle name="40% - Accent2 10" xfId="581"/>
    <cellStyle name="40% - Accent2 10 2" xfId="582"/>
    <cellStyle name="40% - Accent2 11" xfId="583"/>
    <cellStyle name="40% - Accent2 11 2" xfId="584"/>
    <cellStyle name="40% - Accent2 12" xfId="585"/>
    <cellStyle name="40% - Accent2 12 2" xfId="586"/>
    <cellStyle name="40% - Accent2 13" xfId="587"/>
    <cellStyle name="40% - Accent2 13 2" xfId="588"/>
    <cellStyle name="40% - Accent2 14" xfId="589"/>
    <cellStyle name="40% - Accent2 14 2" xfId="590"/>
    <cellStyle name="40% - Accent2 15" xfId="591"/>
    <cellStyle name="40% - Accent2 15 2" xfId="592"/>
    <cellStyle name="40% - Accent2 16" xfId="593"/>
    <cellStyle name="40% - Accent2 16 2" xfId="594"/>
    <cellStyle name="40% - Accent2 17" xfId="595"/>
    <cellStyle name="40% - Accent2 17 2" xfId="596"/>
    <cellStyle name="40% - Accent2 18" xfId="597"/>
    <cellStyle name="40% - Accent2 18 2" xfId="598"/>
    <cellStyle name="40% - Accent2 19" xfId="599"/>
    <cellStyle name="40% - Accent2 19 2" xfId="600"/>
    <cellStyle name="40% - Accent2 2" xfId="601"/>
    <cellStyle name="40% - Accent2 2 2" xfId="602"/>
    <cellStyle name="40% - Accent2 20" xfId="603"/>
    <cellStyle name="40% - Accent2 20 2" xfId="604"/>
    <cellStyle name="40% - Accent2 21" xfId="605"/>
    <cellStyle name="40% - Accent2 21 2" xfId="606"/>
    <cellStyle name="40% - Accent2 22" xfId="607"/>
    <cellStyle name="40% - Accent2 22 2" xfId="608"/>
    <cellStyle name="40% - Accent2 23" xfId="609"/>
    <cellStyle name="40% - Accent2 23 2" xfId="610"/>
    <cellStyle name="40% - Accent2 24" xfId="611"/>
    <cellStyle name="40% - Accent2 24 2" xfId="612"/>
    <cellStyle name="40% - Accent2 25" xfId="613"/>
    <cellStyle name="40% - Accent2 25 2" xfId="614"/>
    <cellStyle name="40% - Accent2 26" xfId="615"/>
    <cellStyle name="40% - Accent2 26 2" xfId="616"/>
    <cellStyle name="40% - Accent2 27" xfId="617"/>
    <cellStyle name="40% - Accent2 27 2" xfId="618"/>
    <cellStyle name="40% - Accent2 28" xfId="619"/>
    <cellStyle name="40% - Accent2 28 2" xfId="620"/>
    <cellStyle name="40% - Accent2 29" xfId="621"/>
    <cellStyle name="40% - Accent2 29 2" xfId="622"/>
    <cellStyle name="40% - Accent2 3" xfId="623"/>
    <cellStyle name="40% - Accent2 3 2" xfId="624"/>
    <cellStyle name="40% - Accent2 30" xfId="625"/>
    <cellStyle name="40% - Accent2 30 2" xfId="626"/>
    <cellStyle name="40% - Accent2 31" xfId="627"/>
    <cellStyle name="40% - Accent2 31 2" xfId="628"/>
    <cellStyle name="40% - Accent2 32" xfId="629"/>
    <cellStyle name="40% - Accent2 32 2" xfId="630"/>
    <cellStyle name="40% - Accent2 33" xfId="631"/>
    <cellStyle name="40% - Accent2 33 2" xfId="632"/>
    <cellStyle name="40% - Accent2 34" xfId="633"/>
    <cellStyle name="40% - Accent2 34 2" xfId="634"/>
    <cellStyle name="40% - Accent2 35" xfId="635"/>
    <cellStyle name="40% - Accent2 35 2" xfId="636"/>
    <cellStyle name="40% - Accent2 36" xfId="637"/>
    <cellStyle name="40% - Accent2 36 2" xfId="638"/>
    <cellStyle name="40% - Accent2 37" xfId="639"/>
    <cellStyle name="40% - Accent2 37 2" xfId="640"/>
    <cellStyle name="40% - Accent2 38" xfId="641"/>
    <cellStyle name="40% - Accent2 38 2" xfId="642"/>
    <cellStyle name="40% - Accent2 39" xfId="643"/>
    <cellStyle name="40% - Accent2 39 2" xfId="644"/>
    <cellStyle name="40% - Accent2 4" xfId="645"/>
    <cellStyle name="40% - Accent2 4 2" xfId="646"/>
    <cellStyle name="40% - Accent2 40" xfId="647"/>
    <cellStyle name="40% - Accent2 41" xfId="648"/>
    <cellStyle name="40% - Accent2 5" xfId="649"/>
    <cellStyle name="40% - Accent2 5 2" xfId="650"/>
    <cellStyle name="40% - Accent2 6" xfId="651"/>
    <cellStyle name="40% - Accent2 6 2" xfId="652"/>
    <cellStyle name="40% - Accent2 7" xfId="653"/>
    <cellStyle name="40% - Accent2 7 2" xfId="654"/>
    <cellStyle name="40% - Accent2 8" xfId="655"/>
    <cellStyle name="40% - Accent2 8 2" xfId="656"/>
    <cellStyle name="40% - Accent2 9" xfId="657"/>
    <cellStyle name="40% - Accent2 9 2" xfId="658"/>
    <cellStyle name="40% - Accent3" xfId="659"/>
    <cellStyle name="40% - Accent3 10" xfId="660"/>
    <cellStyle name="40% - Accent3 10 2" xfId="661"/>
    <cellStyle name="40% - Accent3 11" xfId="662"/>
    <cellStyle name="40% - Accent3 11 2" xfId="663"/>
    <cellStyle name="40% - Accent3 12" xfId="664"/>
    <cellStyle name="40% - Accent3 12 2" xfId="665"/>
    <cellStyle name="40% - Accent3 13" xfId="666"/>
    <cellStyle name="40% - Accent3 13 2" xfId="667"/>
    <cellStyle name="40% - Accent3 14" xfId="668"/>
    <cellStyle name="40% - Accent3 14 2" xfId="669"/>
    <cellStyle name="40% - Accent3 15" xfId="670"/>
    <cellStyle name="40% - Accent3 15 2" xfId="671"/>
    <cellStyle name="40% - Accent3 16" xfId="672"/>
    <cellStyle name="40% - Accent3 16 2" xfId="673"/>
    <cellStyle name="40% - Accent3 17" xfId="674"/>
    <cellStyle name="40% - Accent3 17 2" xfId="675"/>
    <cellStyle name="40% - Accent3 18" xfId="676"/>
    <cellStyle name="40% - Accent3 18 2" xfId="677"/>
    <cellStyle name="40% - Accent3 19" xfId="678"/>
    <cellStyle name="40% - Accent3 19 2" xfId="679"/>
    <cellStyle name="40% - Accent3 2" xfId="680"/>
    <cellStyle name="40% - Accent3 2 2" xfId="681"/>
    <cellStyle name="40% - Accent3 20" xfId="682"/>
    <cellStyle name="40% - Accent3 20 2" xfId="683"/>
    <cellStyle name="40% - Accent3 21" xfId="684"/>
    <cellStyle name="40% - Accent3 21 2" xfId="685"/>
    <cellStyle name="40% - Accent3 22" xfId="686"/>
    <cellStyle name="40% - Accent3 22 2" xfId="687"/>
    <cellStyle name="40% - Accent3 23" xfId="688"/>
    <cellStyle name="40% - Accent3 23 2" xfId="689"/>
    <cellStyle name="40% - Accent3 24" xfId="690"/>
    <cellStyle name="40% - Accent3 24 2" xfId="691"/>
    <cellStyle name="40% - Accent3 25" xfId="692"/>
    <cellStyle name="40% - Accent3 25 2" xfId="693"/>
    <cellStyle name="40% - Accent3 26" xfId="694"/>
    <cellStyle name="40% - Accent3 26 2" xfId="695"/>
    <cellStyle name="40% - Accent3 27" xfId="696"/>
    <cellStyle name="40% - Accent3 27 2" xfId="697"/>
    <cellStyle name="40% - Accent3 28" xfId="698"/>
    <cellStyle name="40% - Accent3 28 2" xfId="699"/>
    <cellStyle name="40% - Accent3 29" xfId="700"/>
    <cellStyle name="40% - Accent3 29 2" xfId="701"/>
    <cellStyle name="40% - Accent3 3" xfId="702"/>
    <cellStyle name="40% - Accent3 3 2" xfId="703"/>
    <cellStyle name="40% - Accent3 30" xfId="704"/>
    <cellStyle name="40% - Accent3 30 2" xfId="705"/>
    <cellStyle name="40% - Accent3 31" xfId="706"/>
    <cellStyle name="40% - Accent3 31 2" xfId="707"/>
    <cellStyle name="40% - Accent3 32" xfId="708"/>
    <cellStyle name="40% - Accent3 32 2" xfId="709"/>
    <cellStyle name="40% - Accent3 33" xfId="710"/>
    <cellStyle name="40% - Accent3 33 2" xfId="711"/>
    <cellStyle name="40% - Accent3 34" xfId="712"/>
    <cellStyle name="40% - Accent3 34 2" xfId="713"/>
    <cellStyle name="40% - Accent3 35" xfId="714"/>
    <cellStyle name="40% - Accent3 35 2" xfId="715"/>
    <cellStyle name="40% - Accent3 36" xfId="716"/>
    <cellStyle name="40% - Accent3 36 2" xfId="717"/>
    <cellStyle name="40% - Accent3 37" xfId="718"/>
    <cellStyle name="40% - Accent3 37 2" xfId="719"/>
    <cellStyle name="40% - Accent3 38" xfId="720"/>
    <cellStyle name="40% - Accent3 38 2" xfId="721"/>
    <cellStyle name="40% - Accent3 39" xfId="722"/>
    <cellStyle name="40% - Accent3 39 2" xfId="723"/>
    <cellStyle name="40% - Accent3 4" xfId="724"/>
    <cellStyle name="40% - Accent3 4 2" xfId="725"/>
    <cellStyle name="40% - Accent3 40" xfId="726"/>
    <cellStyle name="40% - Accent3 41" xfId="727"/>
    <cellStyle name="40% - Accent3 5" xfId="728"/>
    <cellStyle name="40% - Accent3 5 2" xfId="729"/>
    <cellStyle name="40% - Accent3 6" xfId="730"/>
    <cellStyle name="40% - Accent3 6 2" xfId="731"/>
    <cellStyle name="40% - Accent3 7" xfId="732"/>
    <cellStyle name="40% - Accent3 7 2" xfId="733"/>
    <cellStyle name="40% - Accent3 8" xfId="734"/>
    <cellStyle name="40% - Accent3 8 2" xfId="735"/>
    <cellStyle name="40% - Accent3 9" xfId="736"/>
    <cellStyle name="40% - Accent3 9 2" xfId="737"/>
    <cellStyle name="40% - Accent4" xfId="738"/>
    <cellStyle name="40% - Accent4 10" xfId="739"/>
    <cellStyle name="40% - Accent4 10 2" xfId="740"/>
    <cellStyle name="40% - Accent4 11" xfId="741"/>
    <cellStyle name="40% - Accent4 11 2" xfId="742"/>
    <cellStyle name="40% - Accent4 12" xfId="743"/>
    <cellStyle name="40% - Accent4 12 2" xfId="744"/>
    <cellStyle name="40% - Accent4 13" xfId="745"/>
    <cellStyle name="40% - Accent4 13 2" xfId="746"/>
    <cellStyle name="40% - Accent4 14" xfId="747"/>
    <cellStyle name="40% - Accent4 14 2" xfId="748"/>
    <cellStyle name="40% - Accent4 15" xfId="749"/>
    <cellStyle name="40% - Accent4 15 2" xfId="750"/>
    <cellStyle name="40% - Accent4 16" xfId="751"/>
    <cellStyle name="40% - Accent4 16 2" xfId="752"/>
    <cellStyle name="40% - Accent4 17" xfId="753"/>
    <cellStyle name="40% - Accent4 17 2" xfId="754"/>
    <cellStyle name="40% - Accent4 18" xfId="755"/>
    <cellStyle name="40% - Accent4 18 2" xfId="756"/>
    <cellStyle name="40% - Accent4 19" xfId="757"/>
    <cellStyle name="40% - Accent4 19 2" xfId="758"/>
    <cellStyle name="40% - Accent4 2" xfId="759"/>
    <cellStyle name="40% - Accent4 2 2" xfId="760"/>
    <cellStyle name="40% - Accent4 20" xfId="761"/>
    <cellStyle name="40% - Accent4 20 2" xfId="762"/>
    <cellStyle name="40% - Accent4 21" xfId="763"/>
    <cellStyle name="40% - Accent4 21 2" xfId="764"/>
    <cellStyle name="40% - Accent4 22" xfId="765"/>
    <cellStyle name="40% - Accent4 22 2" xfId="766"/>
    <cellStyle name="40% - Accent4 23" xfId="767"/>
    <cellStyle name="40% - Accent4 23 2" xfId="768"/>
    <cellStyle name="40% - Accent4 24" xfId="769"/>
    <cellStyle name="40% - Accent4 24 2" xfId="770"/>
    <cellStyle name="40% - Accent4 25" xfId="771"/>
    <cellStyle name="40% - Accent4 25 2" xfId="772"/>
    <cellStyle name="40% - Accent4 26" xfId="773"/>
    <cellStyle name="40% - Accent4 26 2" xfId="774"/>
    <cellStyle name="40% - Accent4 27" xfId="775"/>
    <cellStyle name="40% - Accent4 27 2" xfId="776"/>
    <cellStyle name="40% - Accent4 28" xfId="777"/>
    <cellStyle name="40% - Accent4 28 2" xfId="778"/>
    <cellStyle name="40% - Accent4 29" xfId="779"/>
    <cellStyle name="40% - Accent4 29 2" xfId="780"/>
    <cellStyle name="40% - Accent4 3" xfId="781"/>
    <cellStyle name="40% - Accent4 3 2" xfId="782"/>
    <cellStyle name="40% - Accent4 30" xfId="783"/>
    <cellStyle name="40% - Accent4 30 2" xfId="784"/>
    <cellStyle name="40% - Accent4 31" xfId="785"/>
    <cellStyle name="40% - Accent4 31 2" xfId="786"/>
    <cellStyle name="40% - Accent4 32" xfId="787"/>
    <cellStyle name="40% - Accent4 32 2" xfId="788"/>
    <cellStyle name="40% - Accent4 33" xfId="789"/>
    <cellStyle name="40% - Accent4 33 2" xfId="790"/>
    <cellStyle name="40% - Accent4 34" xfId="791"/>
    <cellStyle name="40% - Accent4 34 2" xfId="792"/>
    <cellStyle name="40% - Accent4 35" xfId="793"/>
    <cellStyle name="40% - Accent4 35 2" xfId="794"/>
    <cellStyle name="40% - Accent4 36" xfId="795"/>
    <cellStyle name="40% - Accent4 36 2" xfId="796"/>
    <cellStyle name="40% - Accent4 37" xfId="797"/>
    <cellStyle name="40% - Accent4 37 2" xfId="798"/>
    <cellStyle name="40% - Accent4 38" xfId="799"/>
    <cellStyle name="40% - Accent4 38 2" xfId="800"/>
    <cellStyle name="40% - Accent4 39" xfId="801"/>
    <cellStyle name="40% - Accent4 39 2" xfId="802"/>
    <cellStyle name="40% - Accent4 4" xfId="803"/>
    <cellStyle name="40% - Accent4 4 2" xfId="804"/>
    <cellStyle name="40% - Accent4 40" xfId="805"/>
    <cellStyle name="40% - Accent4 41" xfId="806"/>
    <cellStyle name="40% - Accent4 5" xfId="807"/>
    <cellStyle name="40% - Accent4 5 2" xfId="808"/>
    <cellStyle name="40% - Accent4 6" xfId="809"/>
    <cellStyle name="40% - Accent4 6 2" xfId="810"/>
    <cellStyle name="40% - Accent4 7" xfId="811"/>
    <cellStyle name="40% - Accent4 7 2" xfId="812"/>
    <cellStyle name="40% - Accent4 8" xfId="813"/>
    <cellStyle name="40% - Accent4 8 2" xfId="814"/>
    <cellStyle name="40% - Accent4 9" xfId="815"/>
    <cellStyle name="40% - Accent4 9 2" xfId="816"/>
    <cellStyle name="40% - Accent5" xfId="817"/>
    <cellStyle name="40% - Accent5 10" xfId="818"/>
    <cellStyle name="40% - Accent5 10 2" xfId="819"/>
    <cellStyle name="40% - Accent5 11" xfId="820"/>
    <cellStyle name="40% - Accent5 11 2" xfId="821"/>
    <cellStyle name="40% - Accent5 12" xfId="822"/>
    <cellStyle name="40% - Accent5 12 2" xfId="823"/>
    <cellStyle name="40% - Accent5 13" xfId="824"/>
    <cellStyle name="40% - Accent5 13 2" xfId="825"/>
    <cellStyle name="40% - Accent5 14" xfId="826"/>
    <cellStyle name="40% - Accent5 14 2" xfId="827"/>
    <cellStyle name="40% - Accent5 15" xfId="828"/>
    <cellStyle name="40% - Accent5 15 2" xfId="829"/>
    <cellStyle name="40% - Accent5 16" xfId="830"/>
    <cellStyle name="40% - Accent5 16 2" xfId="831"/>
    <cellStyle name="40% - Accent5 17" xfId="832"/>
    <cellStyle name="40% - Accent5 17 2" xfId="833"/>
    <cellStyle name="40% - Accent5 18" xfId="834"/>
    <cellStyle name="40% - Accent5 18 2" xfId="835"/>
    <cellStyle name="40% - Accent5 19" xfId="836"/>
    <cellStyle name="40% - Accent5 19 2" xfId="837"/>
    <cellStyle name="40% - Accent5 2" xfId="838"/>
    <cellStyle name="40% - Accent5 2 2" xfId="839"/>
    <cellStyle name="40% - Accent5 20" xfId="840"/>
    <cellStyle name="40% - Accent5 20 2" xfId="841"/>
    <cellStyle name="40% - Accent5 21" xfId="842"/>
    <cellStyle name="40% - Accent5 21 2" xfId="843"/>
    <cellStyle name="40% - Accent5 22" xfId="844"/>
    <cellStyle name="40% - Accent5 22 2" xfId="845"/>
    <cellStyle name="40% - Accent5 23" xfId="846"/>
    <cellStyle name="40% - Accent5 23 2" xfId="847"/>
    <cellStyle name="40% - Accent5 24" xfId="848"/>
    <cellStyle name="40% - Accent5 24 2" xfId="849"/>
    <cellStyle name="40% - Accent5 25" xfId="850"/>
    <cellStyle name="40% - Accent5 25 2" xfId="851"/>
    <cellStyle name="40% - Accent5 26" xfId="852"/>
    <cellStyle name="40% - Accent5 26 2" xfId="853"/>
    <cellStyle name="40% - Accent5 27" xfId="854"/>
    <cellStyle name="40% - Accent5 27 2" xfId="855"/>
    <cellStyle name="40% - Accent5 28" xfId="856"/>
    <cellStyle name="40% - Accent5 28 2" xfId="857"/>
    <cellStyle name="40% - Accent5 29" xfId="858"/>
    <cellStyle name="40% - Accent5 29 2" xfId="859"/>
    <cellStyle name="40% - Accent5 3" xfId="860"/>
    <cellStyle name="40% - Accent5 3 2" xfId="861"/>
    <cellStyle name="40% - Accent5 30" xfId="862"/>
    <cellStyle name="40% - Accent5 30 2" xfId="863"/>
    <cellStyle name="40% - Accent5 31" xfId="864"/>
    <cellStyle name="40% - Accent5 31 2" xfId="865"/>
    <cellStyle name="40% - Accent5 32" xfId="866"/>
    <cellStyle name="40% - Accent5 32 2" xfId="867"/>
    <cellStyle name="40% - Accent5 33" xfId="868"/>
    <cellStyle name="40% - Accent5 33 2" xfId="869"/>
    <cellStyle name="40% - Accent5 34" xfId="870"/>
    <cellStyle name="40% - Accent5 34 2" xfId="871"/>
    <cellStyle name="40% - Accent5 35" xfId="872"/>
    <cellStyle name="40% - Accent5 35 2" xfId="873"/>
    <cellStyle name="40% - Accent5 36" xfId="874"/>
    <cellStyle name="40% - Accent5 36 2" xfId="875"/>
    <cellStyle name="40% - Accent5 37" xfId="876"/>
    <cellStyle name="40% - Accent5 37 2" xfId="877"/>
    <cellStyle name="40% - Accent5 38" xfId="878"/>
    <cellStyle name="40% - Accent5 38 2" xfId="879"/>
    <cellStyle name="40% - Accent5 39" xfId="880"/>
    <cellStyle name="40% - Accent5 39 2" xfId="881"/>
    <cellStyle name="40% - Accent5 4" xfId="882"/>
    <cellStyle name="40% - Accent5 4 2" xfId="883"/>
    <cellStyle name="40% - Accent5 40" xfId="884"/>
    <cellStyle name="40% - Accent5 41" xfId="885"/>
    <cellStyle name="40% - Accent5 5" xfId="886"/>
    <cellStyle name="40% - Accent5 5 2" xfId="887"/>
    <cellStyle name="40% - Accent5 6" xfId="888"/>
    <cellStyle name="40% - Accent5 6 2" xfId="889"/>
    <cellStyle name="40% - Accent5 7" xfId="890"/>
    <cellStyle name="40% - Accent5 7 2" xfId="891"/>
    <cellStyle name="40% - Accent5 8" xfId="892"/>
    <cellStyle name="40% - Accent5 8 2" xfId="893"/>
    <cellStyle name="40% - Accent5 9" xfId="894"/>
    <cellStyle name="40% - Accent5 9 2" xfId="895"/>
    <cellStyle name="40% - Accent6" xfId="896"/>
    <cellStyle name="40% - Accent6 10" xfId="897"/>
    <cellStyle name="40% - Accent6 10 2" xfId="898"/>
    <cellStyle name="40% - Accent6 11" xfId="899"/>
    <cellStyle name="40% - Accent6 11 2" xfId="900"/>
    <cellStyle name="40% - Accent6 12" xfId="901"/>
    <cellStyle name="40% - Accent6 12 2" xfId="902"/>
    <cellStyle name="40% - Accent6 13" xfId="903"/>
    <cellStyle name="40% - Accent6 13 2" xfId="904"/>
    <cellStyle name="40% - Accent6 14" xfId="905"/>
    <cellStyle name="40% - Accent6 14 2" xfId="906"/>
    <cellStyle name="40% - Accent6 15" xfId="907"/>
    <cellStyle name="40% - Accent6 15 2" xfId="908"/>
    <cellStyle name="40% - Accent6 16" xfId="909"/>
    <cellStyle name="40% - Accent6 16 2" xfId="910"/>
    <cellStyle name="40% - Accent6 17" xfId="911"/>
    <cellStyle name="40% - Accent6 17 2" xfId="912"/>
    <cellStyle name="40% - Accent6 18" xfId="913"/>
    <cellStyle name="40% - Accent6 18 2" xfId="914"/>
    <cellStyle name="40% - Accent6 19" xfId="915"/>
    <cellStyle name="40% - Accent6 19 2" xfId="916"/>
    <cellStyle name="40% - Accent6 2" xfId="917"/>
    <cellStyle name="40% - Accent6 2 2" xfId="918"/>
    <cellStyle name="40% - Accent6 20" xfId="919"/>
    <cellStyle name="40% - Accent6 20 2" xfId="920"/>
    <cellStyle name="40% - Accent6 21" xfId="921"/>
    <cellStyle name="40% - Accent6 21 2" xfId="922"/>
    <cellStyle name="40% - Accent6 22" xfId="923"/>
    <cellStyle name="40% - Accent6 22 2" xfId="924"/>
    <cellStyle name="40% - Accent6 23" xfId="925"/>
    <cellStyle name="40% - Accent6 23 2" xfId="926"/>
    <cellStyle name="40% - Accent6 24" xfId="927"/>
    <cellStyle name="40% - Accent6 24 2" xfId="928"/>
    <cellStyle name="40% - Accent6 25" xfId="929"/>
    <cellStyle name="40% - Accent6 25 2" xfId="930"/>
    <cellStyle name="40% - Accent6 26" xfId="931"/>
    <cellStyle name="40% - Accent6 26 2" xfId="932"/>
    <cellStyle name="40% - Accent6 27" xfId="933"/>
    <cellStyle name="40% - Accent6 27 2" xfId="934"/>
    <cellStyle name="40% - Accent6 28" xfId="935"/>
    <cellStyle name="40% - Accent6 28 2" xfId="936"/>
    <cellStyle name="40% - Accent6 29" xfId="937"/>
    <cellStyle name="40% - Accent6 29 2" xfId="938"/>
    <cellStyle name="40% - Accent6 3" xfId="939"/>
    <cellStyle name="40% - Accent6 3 2" xfId="940"/>
    <cellStyle name="40% - Accent6 30" xfId="941"/>
    <cellStyle name="40% - Accent6 30 2" xfId="942"/>
    <cellStyle name="40% - Accent6 31" xfId="943"/>
    <cellStyle name="40% - Accent6 31 2" xfId="944"/>
    <cellStyle name="40% - Accent6 32" xfId="945"/>
    <cellStyle name="40% - Accent6 32 2" xfId="946"/>
    <cellStyle name="40% - Accent6 33" xfId="947"/>
    <cellStyle name="40% - Accent6 33 2" xfId="948"/>
    <cellStyle name="40% - Accent6 34" xfId="949"/>
    <cellStyle name="40% - Accent6 34 2" xfId="950"/>
    <cellStyle name="40% - Accent6 35" xfId="951"/>
    <cellStyle name="40% - Accent6 35 2" xfId="952"/>
    <cellStyle name="40% - Accent6 36" xfId="953"/>
    <cellStyle name="40% - Accent6 36 2" xfId="954"/>
    <cellStyle name="40% - Accent6 37" xfId="955"/>
    <cellStyle name="40% - Accent6 37 2" xfId="956"/>
    <cellStyle name="40% - Accent6 38" xfId="957"/>
    <cellStyle name="40% - Accent6 38 2" xfId="958"/>
    <cellStyle name="40% - Accent6 39" xfId="959"/>
    <cellStyle name="40% - Accent6 39 2" xfId="960"/>
    <cellStyle name="40% - Accent6 4" xfId="961"/>
    <cellStyle name="40% - Accent6 4 2" xfId="962"/>
    <cellStyle name="40% - Accent6 40" xfId="963"/>
    <cellStyle name="40% - Accent6 41" xfId="964"/>
    <cellStyle name="40% - Accent6 5" xfId="965"/>
    <cellStyle name="40% - Accent6 5 2" xfId="966"/>
    <cellStyle name="40% - Accent6 6" xfId="967"/>
    <cellStyle name="40% - Accent6 6 2" xfId="968"/>
    <cellStyle name="40% - Accent6 7" xfId="969"/>
    <cellStyle name="40% - Accent6 7 2" xfId="970"/>
    <cellStyle name="40% - Accent6 8" xfId="971"/>
    <cellStyle name="40% - Accent6 8 2" xfId="972"/>
    <cellStyle name="40% - Accent6 9" xfId="973"/>
    <cellStyle name="40% - Accent6 9 2" xfId="974"/>
    <cellStyle name="40% - ส่วนที่ถูกเน้น1 2" xfId="975"/>
    <cellStyle name="40% - ส่วนที่ถูกเน้น1 2 2" xfId="976"/>
    <cellStyle name="40% - ส่วนที่ถูกเน้น2 2" xfId="977"/>
    <cellStyle name="40% - ส่วนที่ถูกเน้น2 2 2" xfId="978"/>
    <cellStyle name="40% - ส่วนที่ถูกเน้น3 2" xfId="979"/>
    <cellStyle name="40% - ส่วนที่ถูกเน้น3 2 2" xfId="980"/>
    <cellStyle name="40% - ส่วนที่ถูกเน้น4 2" xfId="981"/>
    <cellStyle name="40% - ส่วนที่ถูกเน้น4 2 2" xfId="982"/>
    <cellStyle name="40% - ส่วนที่ถูกเน้น5 2" xfId="983"/>
    <cellStyle name="40% - ส่วนที่ถูกเน้น5 2 2" xfId="984"/>
    <cellStyle name="40% - ส่วนที่ถูกเน้น6 2" xfId="985"/>
    <cellStyle name="40% - ส่วนที่ถูกเน้น6 2 2" xfId="986"/>
    <cellStyle name="60% - Accent1" xfId="987"/>
    <cellStyle name="60% - Accent1 10" xfId="988"/>
    <cellStyle name="60% - Accent1 11" xfId="989"/>
    <cellStyle name="60% - Accent1 12" xfId="990"/>
    <cellStyle name="60% - Accent1 13" xfId="991"/>
    <cellStyle name="60% - Accent1 14" xfId="992"/>
    <cellStyle name="60% - Accent1 15" xfId="993"/>
    <cellStyle name="60% - Accent1 16" xfId="994"/>
    <cellStyle name="60% - Accent1 17" xfId="995"/>
    <cellStyle name="60% - Accent1 18" xfId="996"/>
    <cellStyle name="60% - Accent1 19" xfId="997"/>
    <cellStyle name="60% - Accent1 2" xfId="998"/>
    <cellStyle name="60% - Accent1 20" xfId="999"/>
    <cellStyle name="60% - Accent1 21" xfId="1000"/>
    <cellStyle name="60% - Accent1 22" xfId="1001"/>
    <cellStyle name="60% - Accent1 23" xfId="1002"/>
    <cellStyle name="60% - Accent1 24" xfId="1003"/>
    <cellStyle name="60% - Accent1 25" xfId="1004"/>
    <cellStyle name="60% - Accent1 26" xfId="1005"/>
    <cellStyle name="60% - Accent1 27" xfId="1006"/>
    <cellStyle name="60% - Accent1 28" xfId="1007"/>
    <cellStyle name="60% - Accent1 29" xfId="1008"/>
    <cellStyle name="60% - Accent1 3" xfId="1009"/>
    <cellStyle name="60% - Accent1 30" xfId="1010"/>
    <cellStyle name="60% - Accent1 31" xfId="1011"/>
    <cellStyle name="60% - Accent1 32" xfId="1012"/>
    <cellStyle name="60% - Accent1 33" xfId="1013"/>
    <cellStyle name="60% - Accent1 34" xfId="1014"/>
    <cellStyle name="60% - Accent1 35" xfId="1015"/>
    <cellStyle name="60% - Accent1 36" xfId="1016"/>
    <cellStyle name="60% - Accent1 37" xfId="1017"/>
    <cellStyle name="60% - Accent1 38" xfId="1018"/>
    <cellStyle name="60% - Accent1 39" xfId="1019"/>
    <cellStyle name="60% - Accent1 4" xfId="1020"/>
    <cellStyle name="60% - Accent1 40" xfId="1021"/>
    <cellStyle name="60% - Accent1 5" xfId="1022"/>
    <cellStyle name="60% - Accent1 6" xfId="1023"/>
    <cellStyle name="60% - Accent1 7" xfId="1024"/>
    <cellStyle name="60% - Accent1 8" xfId="1025"/>
    <cellStyle name="60% - Accent1 9" xfId="1026"/>
    <cellStyle name="60% - Accent2" xfId="1027"/>
    <cellStyle name="60% - Accent2 10" xfId="1028"/>
    <cellStyle name="60% - Accent2 11" xfId="1029"/>
    <cellStyle name="60% - Accent2 12" xfId="1030"/>
    <cellStyle name="60% - Accent2 13" xfId="1031"/>
    <cellStyle name="60% - Accent2 14" xfId="1032"/>
    <cellStyle name="60% - Accent2 15" xfId="1033"/>
    <cellStyle name="60% - Accent2 16" xfId="1034"/>
    <cellStyle name="60% - Accent2 17" xfId="1035"/>
    <cellStyle name="60% - Accent2 18" xfId="1036"/>
    <cellStyle name="60% - Accent2 19" xfId="1037"/>
    <cellStyle name="60% - Accent2 2" xfId="1038"/>
    <cellStyle name="60% - Accent2 20" xfId="1039"/>
    <cellStyle name="60% - Accent2 21" xfId="1040"/>
    <cellStyle name="60% - Accent2 22" xfId="1041"/>
    <cellStyle name="60% - Accent2 23" xfId="1042"/>
    <cellStyle name="60% - Accent2 24" xfId="1043"/>
    <cellStyle name="60% - Accent2 25" xfId="1044"/>
    <cellStyle name="60% - Accent2 26" xfId="1045"/>
    <cellStyle name="60% - Accent2 27" xfId="1046"/>
    <cellStyle name="60% - Accent2 28" xfId="1047"/>
    <cellStyle name="60% - Accent2 29" xfId="1048"/>
    <cellStyle name="60% - Accent2 3" xfId="1049"/>
    <cellStyle name="60% - Accent2 30" xfId="1050"/>
    <cellStyle name="60% - Accent2 31" xfId="1051"/>
    <cellStyle name="60% - Accent2 32" xfId="1052"/>
    <cellStyle name="60% - Accent2 33" xfId="1053"/>
    <cellStyle name="60% - Accent2 34" xfId="1054"/>
    <cellStyle name="60% - Accent2 35" xfId="1055"/>
    <cellStyle name="60% - Accent2 36" xfId="1056"/>
    <cellStyle name="60% - Accent2 37" xfId="1057"/>
    <cellStyle name="60% - Accent2 38" xfId="1058"/>
    <cellStyle name="60% - Accent2 39" xfId="1059"/>
    <cellStyle name="60% - Accent2 4" xfId="1060"/>
    <cellStyle name="60% - Accent2 40" xfId="1061"/>
    <cellStyle name="60% - Accent2 5" xfId="1062"/>
    <cellStyle name="60% - Accent2 6" xfId="1063"/>
    <cellStyle name="60% - Accent2 7" xfId="1064"/>
    <cellStyle name="60% - Accent2 8" xfId="1065"/>
    <cellStyle name="60% - Accent2 9" xfId="1066"/>
    <cellStyle name="60% - Accent3" xfId="1067"/>
    <cellStyle name="60% - Accent3 10" xfId="1068"/>
    <cellStyle name="60% - Accent3 11" xfId="1069"/>
    <cellStyle name="60% - Accent3 12" xfId="1070"/>
    <cellStyle name="60% - Accent3 13" xfId="1071"/>
    <cellStyle name="60% - Accent3 14" xfId="1072"/>
    <cellStyle name="60% - Accent3 15" xfId="1073"/>
    <cellStyle name="60% - Accent3 16" xfId="1074"/>
    <cellStyle name="60% - Accent3 17" xfId="1075"/>
    <cellStyle name="60% - Accent3 18" xfId="1076"/>
    <cellStyle name="60% - Accent3 19" xfId="1077"/>
    <cellStyle name="60% - Accent3 2" xfId="1078"/>
    <cellStyle name="60% - Accent3 20" xfId="1079"/>
    <cellStyle name="60% - Accent3 21" xfId="1080"/>
    <cellStyle name="60% - Accent3 22" xfId="1081"/>
    <cellStyle name="60% - Accent3 23" xfId="1082"/>
    <cellStyle name="60% - Accent3 24" xfId="1083"/>
    <cellStyle name="60% - Accent3 25" xfId="1084"/>
    <cellStyle name="60% - Accent3 26" xfId="1085"/>
    <cellStyle name="60% - Accent3 27" xfId="1086"/>
    <cellStyle name="60% - Accent3 28" xfId="1087"/>
    <cellStyle name="60% - Accent3 29" xfId="1088"/>
    <cellStyle name="60% - Accent3 3" xfId="1089"/>
    <cellStyle name="60% - Accent3 30" xfId="1090"/>
    <cellStyle name="60% - Accent3 31" xfId="1091"/>
    <cellStyle name="60% - Accent3 32" xfId="1092"/>
    <cellStyle name="60% - Accent3 33" xfId="1093"/>
    <cellStyle name="60% - Accent3 34" xfId="1094"/>
    <cellStyle name="60% - Accent3 35" xfId="1095"/>
    <cellStyle name="60% - Accent3 36" xfId="1096"/>
    <cellStyle name="60% - Accent3 37" xfId="1097"/>
    <cellStyle name="60% - Accent3 38" xfId="1098"/>
    <cellStyle name="60% - Accent3 39" xfId="1099"/>
    <cellStyle name="60% - Accent3 4" xfId="1100"/>
    <cellStyle name="60% - Accent3 40" xfId="1101"/>
    <cellStyle name="60% - Accent3 5" xfId="1102"/>
    <cellStyle name="60% - Accent3 6" xfId="1103"/>
    <cellStyle name="60% - Accent3 7" xfId="1104"/>
    <cellStyle name="60% - Accent3 8" xfId="1105"/>
    <cellStyle name="60% - Accent3 9" xfId="1106"/>
    <cellStyle name="60% - Accent4" xfId="1107"/>
    <cellStyle name="60% - Accent4 10" xfId="1108"/>
    <cellStyle name="60% - Accent4 11" xfId="1109"/>
    <cellStyle name="60% - Accent4 12" xfId="1110"/>
    <cellStyle name="60% - Accent4 13" xfId="1111"/>
    <cellStyle name="60% - Accent4 14" xfId="1112"/>
    <cellStyle name="60% - Accent4 15" xfId="1113"/>
    <cellStyle name="60% - Accent4 16" xfId="1114"/>
    <cellStyle name="60% - Accent4 17" xfId="1115"/>
    <cellStyle name="60% - Accent4 18" xfId="1116"/>
    <cellStyle name="60% - Accent4 19" xfId="1117"/>
    <cellStyle name="60% - Accent4 2" xfId="1118"/>
    <cellStyle name="60% - Accent4 20" xfId="1119"/>
    <cellStyle name="60% - Accent4 21" xfId="1120"/>
    <cellStyle name="60% - Accent4 22" xfId="1121"/>
    <cellStyle name="60% - Accent4 23" xfId="1122"/>
    <cellStyle name="60% - Accent4 24" xfId="1123"/>
    <cellStyle name="60% - Accent4 25" xfId="1124"/>
    <cellStyle name="60% - Accent4 26" xfId="1125"/>
    <cellStyle name="60% - Accent4 27" xfId="1126"/>
    <cellStyle name="60% - Accent4 28" xfId="1127"/>
    <cellStyle name="60% - Accent4 29" xfId="1128"/>
    <cellStyle name="60% - Accent4 3" xfId="1129"/>
    <cellStyle name="60% - Accent4 30" xfId="1130"/>
    <cellStyle name="60% - Accent4 31" xfId="1131"/>
    <cellStyle name="60% - Accent4 32" xfId="1132"/>
    <cellStyle name="60% - Accent4 33" xfId="1133"/>
    <cellStyle name="60% - Accent4 34" xfId="1134"/>
    <cellStyle name="60% - Accent4 35" xfId="1135"/>
    <cellStyle name="60% - Accent4 36" xfId="1136"/>
    <cellStyle name="60% - Accent4 37" xfId="1137"/>
    <cellStyle name="60% - Accent4 38" xfId="1138"/>
    <cellStyle name="60% - Accent4 39" xfId="1139"/>
    <cellStyle name="60% - Accent4 4" xfId="1140"/>
    <cellStyle name="60% - Accent4 40" xfId="1141"/>
    <cellStyle name="60% - Accent4 5" xfId="1142"/>
    <cellStyle name="60% - Accent4 6" xfId="1143"/>
    <cellStyle name="60% - Accent4 7" xfId="1144"/>
    <cellStyle name="60% - Accent4 8" xfId="1145"/>
    <cellStyle name="60% - Accent4 9" xfId="1146"/>
    <cellStyle name="60% - Accent5" xfId="1147"/>
    <cellStyle name="60% - Accent5 10" xfId="1148"/>
    <cellStyle name="60% - Accent5 11" xfId="1149"/>
    <cellStyle name="60% - Accent5 12" xfId="1150"/>
    <cellStyle name="60% - Accent5 13" xfId="1151"/>
    <cellStyle name="60% - Accent5 14" xfId="1152"/>
    <cellStyle name="60% - Accent5 15" xfId="1153"/>
    <cellStyle name="60% - Accent5 16" xfId="1154"/>
    <cellStyle name="60% - Accent5 17" xfId="1155"/>
    <cellStyle name="60% - Accent5 18" xfId="1156"/>
    <cellStyle name="60% - Accent5 19" xfId="1157"/>
    <cellStyle name="60% - Accent5 2" xfId="1158"/>
    <cellStyle name="60% - Accent5 20" xfId="1159"/>
    <cellStyle name="60% - Accent5 21" xfId="1160"/>
    <cellStyle name="60% - Accent5 22" xfId="1161"/>
    <cellStyle name="60% - Accent5 23" xfId="1162"/>
    <cellStyle name="60% - Accent5 24" xfId="1163"/>
    <cellStyle name="60% - Accent5 25" xfId="1164"/>
    <cellStyle name="60% - Accent5 26" xfId="1165"/>
    <cellStyle name="60% - Accent5 27" xfId="1166"/>
    <cellStyle name="60% - Accent5 28" xfId="1167"/>
    <cellStyle name="60% - Accent5 29" xfId="1168"/>
    <cellStyle name="60% - Accent5 3" xfId="1169"/>
    <cellStyle name="60% - Accent5 30" xfId="1170"/>
    <cellStyle name="60% - Accent5 31" xfId="1171"/>
    <cellStyle name="60% - Accent5 32" xfId="1172"/>
    <cellStyle name="60% - Accent5 33" xfId="1173"/>
    <cellStyle name="60% - Accent5 34" xfId="1174"/>
    <cellStyle name="60% - Accent5 35" xfId="1175"/>
    <cellStyle name="60% - Accent5 36" xfId="1176"/>
    <cellStyle name="60% - Accent5 37" xfId="1177"/>
    <cellStyle name="60% - Accent5 38" xfId="1178"/>
    <cellStyle name="60% - Accent5 39" xfId="1179"/>
    <cellStyle name="60% - Accent5 4" xfId="1180"/>
    <cellStyle name="60% - Accent5 40" xfId="1181"/>
    <cellStyle name="60% - Accent5 5" xfId="1182"/>
    <cellStyle name="60% - Accent5 6" xfId="1183"/>
    <cellStyle name="60% - Accent5 7" xfId="1184"/>
    <cellStyle name="60% - Accent5 8" xfId="1185"/>
    <cellStyle name="60% - Accent5 9" xfId="1186"/>
    <cellStyle name="60% - Accent6" xfId="1187"/>
    <cellStyle name="60% - Accent6 10" xfId="1188"/>
    <cellStyle name="60% - Accent6 11" xfId="1189"/>
    <cellStyle name="60% - Accent6 12" xfId="1190"/>
    <cellStyle name="60% - Accent6 13" xfId="1191"/>
    <cellStyle name="60% - Accent6 14" xfId="1192"/>
    <cellStyle name="60% - Accent6 15" xfId="1193"/>
    <cellStyle name="60% - Accent6 16" xfId="1194"/>
    <cellStyle name="60% - Accent6 17" xfId="1195"/>
    <cellStyle name="60% - Accent6 18" xfId="1196"/>
    <cellStyle name="60% - Accent6 19" xfId="1197"/>
    <cellStyle name="60% - Accent6 2" xfId="1198"/>
    <cellStyle name="60% - Accent6 20" xfId="1199"/>
    <cellStyle name="60% - Accent6 21" xfId="1200"/>
    <cellStyle name="60% - Accent6 22" xfId="1201"/>
    <cellStyle name="60% - Accent6 23" xfId="1202"/>
    <cellStyle name="60% - Accent6 24" xfId="1203"/>
    <cellStyle name="60% - Accent6 25" xfId="1204"/>
    <cellStyle name="60% - Accent6 26" xfId="1205"/>
    <cellStyle name="60% - Accent6 27" xfId="1206"/>
    <cellStyle name="60% - Accent6 28" xfId="1207"/>
    <cellStyle name="60% - Accent6 29" xfId="1208"/>
    <cellStyle name="60% - Accent6 3" xfId="1209"/>
    <cellStyle name="60% - Accent6 30" xfId="1210"/>
    <cellStyle name="60% - Accent6 31" xfId="1211"/>
    <cellStyle name="60% - Accent6 32" xfId="1212"/>
    <cellStyle name="60% - Accent6 33" xfId="1213"/>
    <cellStyle name="60% - Accent6 34" xfId="1214"/>
    <cellStyle name="60% - Accent6 35" xfId="1215"/>
    <cellStyle name="60% - Accent6 36" xfId="1216"/>
    <cellStyle name="60% - Accent6 37" xfId="1217"/>
    <cellStyle name="60% - Accent6 38" xfId="1218"/>
    <cellStyle name="60% - Accent6 39" xfId="1219"/>
    <cellStyle name="60% - Accent6 4" xfId="1220"/>
    <cellStyle name="60% - Accent6 40" xfId="1221"/>
    <cellStyle name="60% - Accent6 5" xfId="1222"/>
    <cellStyle name="60% - Accent6 6" xfId="1223"/>
    <cellStyle name="60% - Accent6 7" xfId="1224"/>
    <cellStyle name="60% - Accent6 8" xfId="1225"/>
    <cellStyle name="60% - Accent6 9" xfId="1226"/>
    <cellStyle name="60% - ส่วนที่ถูกเน้น1 2" xfId="1227"/>
    <cellStyle name="60% - ส่วนที่ถูกเน้น2 2" xfId="1228"/>
    <cellStyle name="60% - ส่วนที่ถูกเน้น3 2" xfId="1229"/>
    <cellStyle name="60% - ส่วนที่ถูกเน้น4 2" xfId="1230"/>
    <cellStyle name="60% - ส่วนที่ถูกเน้น5 2" xfId="1231"/>
    <cellStyle name="60% - ส่วนที่ถูกเน้น6 2" xfId="1232"/>
    <cellStyle name="Accent1" xfId="1233"/>
    <cellStyle name="Accent1 10" xfId="1234"/>
    <cellStyle name="Accent1 11" xfId="1235"/>
    <cellStyle name="Accent1 12" xfId="1236"/>
    <cellStyle name="Accent1 13" xfId="1237"/>
    <cellStyle name="Accent1 14" xfId="1238"/>
    <cellStyle name="Accent1 15" xfId="1239"/>
    <cellStyle name="Accent1 16" xfId="1240"/>
    <cellStyle name="Accent1 17" xfId="1241"/>
    <cellStyle name="Accent1 18" xfId="1242"/>
    <cellStyle name="Accent1 19" xfId="1243"/>
    <cellStyle name="Accent1 2" xfId="1244"/>
    <cellStyle name="Accent1 20" xfId="1245"/>
    <cellStyle name="Accent1 21" xfId="1246"/>
    <cellStyle name="Accent1 22" xfId="1247"/>
    <cellStyle name="Accent1 23" xfId="1248"/>
    <cellStyle name="Accent1 24" xfId="1249"/>
    <cellStyle name="Accent1 25" xfId="1250"/>
    <cellStyle name="Accent1 26" xfId="1251"/>
    <cellStyle name="Accent1 27" xfId="1252"/>
    <cellStyle name="Accent1 28" xfId="1253"/>
    <cellStyle name="Accent1 29" xfId="1254"/>
    <cellStyle name="Accent1 3" xfId="1255"/>
    <cellStyle name="Accent1 30" xfId="1256"/>
    <cellStyle name="Accent1 31" xfId="1257"/>
    <cellStyle name="Accent1 32" xfId="1258"/>
    <cellStyle name="Accent1 33" xfId="1259"/>
    <cellStyle name="Accent1 34" xfId="1260"/>
    <cellStyle name="Accent1 35" xfId="1261"/>
    <cellStyle name="Accent1 36" xfId="1262"/>
    <cellStyle name="Accent1 37" xfId="1263"/>
    <cellStyle name="Accent1 38" xfId="1264"/>
    <cellStyle name="Accent1 39" xfId="1265"/>
    <cellStyle name="Accent1 4" xfId="1266"/>
    <cellStyle name="Accent1 40" xfId="1267"/>
    <cellStyle name="Accent1 5" xfId="1268"/>
    <cellStyle name="Accent1 6" xfId="1269"/>
    <cellStyle name="Accent1 7" xfId="1270"/>
    <cellStyle name="Accent1 8" xfId="1271"/>
    <cellStyle name="Accent1 9" xfId="1272"/>
    <cellStyle name="Accent2" xfId="1273"/>
    <cellStyle name="Accent2 10" xfId="1274"/>
    <cellStyle name="Accent2 11" xfId="1275"/>
    <cellStyle name="Accent2 12" xfId="1276"/>
    <cellStyle name="Accent2 13" xfId="1277"/>
    <cellStyle name="Accent2 14" xfId="1278"/>
    <cellStyle name="Accent2 15" xfId="1279"/>
    <cellStyle name="Accent2 16" xfId="1280"/>
    <cellStyle name="Accent2 17" xfId="1281"/>
    <cellStyle name="Accent2 18" xfId="1282"/>
    <cellStyle name="Accent2 19" xfId="1283"/>
    <cellStyle name="Accent2 2" xfId="1284"/>
    <cellStyle name="Accent2 20" xfId="1285"/>
    <cellStyle name="Accent2 21" xfId="1286"/>
    <cellStyle name="Accent2 22" xfId="1287"/>
    <cellStyle name="Accent2 23" xfId="1288"/>
    <cellStyle name="Accent2 24" xfId="1289"/>
    <cellStyle name="Accent2 25" xfId="1290"/>
    <cellStyle name="Accent2 26" xfId="1291"/>
    <cellStyle name="Accent2 27" xfId="1292"/>
    <cellStyle name="Accent2 28" xfId="1293"/>
    <cellStyle name="Accent2 29" xfId="1294"/>
    <cellStyle name="Accent2 3" xfId="1295"/>
    <cellStyle name="Accent2 30" xfId="1296"/>
    <cellStyle name="Accent2 31" xfId="1297"/>
    <cellStyle name="Accent2 32" xfId="1298"/>
    <cellStyle name="Accent2 33" xfId="1299"/>
    <cellStyle name="Accent2 34" xfId="1300"/>
    <cellStyle name="Accent2 35" xfId="1301"/>
    <cellStyle name="Accent2 36" xfId="1302"/>
    <cellStyle name="Accent2 37" xfId="1303"/>
    <cellStyle name="Accent2 38" xfId="1304"/>
    <cellStyle name="Accent2 39" xfId="1305"/>
    <cellStyle name="Accent2 4" xfId="1306"/>
    <cellStyle name="Accent2 40" xfId="1307"/>
    <cellStyle name="Accent2 5" xfId="1308"/>
    <cellStyle name="Accent2 6" xfId="1309"/>
    <cellStyle name="Accent2 7" xfId="1310"/>
    <cellStyle name="Accent2 8" xfId="1311"/>
    <cellStyle name="Accent2 9" xfId="1312"/>
    <cellStyle name="Accent3" xfId="1313"/>
    <cellStyle name="Accent3 10" xfId="1314"/>
    <cellStyle name="Accent3 11" xfId="1315"/>
    <cellStyle name="Accent3 12" xfId="1316"/>
    <cellStyle name="Accent3 13" xfId="1317"/>
    <cellStyle name="Accent3 14" xfId="1318"/>
    <cellStyle name="Accent3 15" xfId="1319"/>
    <cellStyle name="Accent3 16" xfId="1320"/>
    <cellStyle name="Accent3 17" xfId="1321"/>
    <cellStyle name="Accent3 18" xfId="1322"/>
    <cellStyle name="Accent3 19" xfId="1323"/>
    <cellStyle name="Accent3 2" xfId="1324"/>
    <cellStyle name="Accent3 20" xfId="1325"/>
    <cellStyle name="Accent3 21" xfId="1326"/>
    <cellStyle name="Accent3 22" xfId="1327"/>
    <cellStyle name="Accent3 23" xfId="1328"/>
    <cellStyle name="Accent3 24" xfId="1329"/>
    <cellStyle name="Accent3 25" xfId="1330"/>
    <cellStyle name="Accent3 26" xfId="1331"/>
    <cellStyle name="Accent3 27" xfId="1332"/>
    <cellStyle name="Accent3 28" xfId="1333"/>
    <cellStyle name="Accent3 29" xfId="1334"/>
    <cellStyle name="Accent3 3" xfId="1335"/>
    <cellStyle name="Accent3 30" xfId="1336"/>
    <cellStyle name="Accent3 31" xfId="1337"/>
    <cellStyle name="Accent3 32" xfId="1338"/>
    <cellStyle name="Accent3 33" xfId="1339"/>
    <cellStyle name="Accent3 34" xfId="1340"/>
    <cellStyle name="Accent3 35" xfId="1341"/>
    <cellStyle name="Accent3 36" xfId="1342"/>
    <cellStyle name="Accent3 37" xfId="1343"/>
    <cellStyle name="Accent3 38" xfId="1344"/>
    <cellStyle name="Accent3 39" xfId="1345"/>
    <cellStyle name="Accent3 4" xfId="1346"/>
    <cellStyle name="Accent3 40" xfId="1347"/>
    <cellStyle name="Accent3 5" xfId="1348"/>
    <cellStyle name="Accent3 6" xfId="1349"/>
    <cellStyle name="Accent3 7" xfId="1350"/>
    <cellStyle name="Accent3 8" xfId="1351"/>
    <cellStyle name="Accent3 9" xfId="1352"/>
    <cellStyle name="Accent4" xfId="1353"/>
    <cellStyle name="Accent4 10" xfId="1354"/>
    <cellStyle name="Accent4 11" xfId="1355"/>
    <cellStyle name="Accent4 12" xfId="1356"/>
    <cellStyle name="Accent4 13" xfId="1357"/>
    <cellStyle name="Accent4 14" xfId="1358"/>
    <cellStyle name="Accent4 15" xfId="1359"/>
    <cellStyle name="Accent4 16" xfId="1360"/>
    <cellStyle name="Accent4 17" xfId="1361"/>
    <cellStyle name="Accent4 18" xfId="1362"/>
    <cellStyle name="Accent4 19" xfId="1363"/>
    <cellStyle name="Accent4 2" xfId="1364"/>
    <cellStyle name="Accent4 20" xfId="1365"/>
    <cellStyle name="Accent4 21" xfId="1366"/>
    <cellStyle name="Accent4 22" xfId="1367"/>
    <cellStyle name="Accent4 23" xfId="1368"/>
    <cellStyle name="Accent4 24" xfId="1369"/>
    <cellStyle name="Accent4 25" xfId="1370"/>
    <cellStyle name="Accent4 26" xfId="1371"/>
    <cellStyle name="Accent4 27" xfId="1372"/>
    <cellStyle name="Accent4 28" xfId="1373"/>
    <cellStyle name="Accent4 29" xfId="1374"/>
    <cellStyle name="Accent4 3" xfId="1375"/>
    <cellStyle name="Accent4 30" xfId="1376"/>
    <cellStyle name="Accent4 31" xfId="1377"/>
    <cellStyle name="Accent4 32" xfId="1378"/>
    <cellStyle name="Accent4 33" xfId="1379"/>
    <cellStyle name="Accent4 34" xfId="1380"/>
    <cellStyle name="Accent4 35" xfId="1381"/>
    <cellStyle name="Accent4 36" xfId="1382"/>
    <cellStyle name="Accent4 37" xfId="1383"/>
    <cellStyle name="Accent4 38" xfId="1384"/>
    <cellStyle name="Accent4 39" xfId="1385"/>
    <cellStyle name="Accent4 4" xfId="1386"/>
    <cellStyle name="Accent4 40" xfId="1387"/>
    <cellStyle name="Accent4 5" xfId="1388"/>
    <cellStyle name="Accent4 6" xfId="1389"/>
    <cellStyle name="Accent4 7" xfId="1390"/>
    <cellStyle name="Accent4 8" xfId="1391"/>
    <cellStyle name="Accent4 9" xfId="1392"/>
    <cellStyle name="Accent5" xfId="1393"/>
    <cellStyle name="Accent5 10" xfId="1394"/>
    <cellStyle name="Accent5 11" xfId="1395"/>
    <cellStyle name="Accent5 12" xfId="1396"/>
    <cellStyle name="Accent5 13" xfId="1397"/>
    <cellStyle name="Accent5 14" xfId="1398"/>
    <cellStyle name="Accent5 15" xfId="1399"/>
    <cellStyle name="Accent5 16" xfId="1400"/>
    <cellStyle name="Accent5 17" xfId="1401"/>
    <cellStyle name="Accent5 18" xfId="1402"/>
    <cellStyle name="Accent5 19" xfId="1403"/>
    <cellStyle name="Accent5 2" xfId="1404"/>
    <cellStyle name="Accent5 20" xfId="1405"/>
    <cellStyle name="Accent5 21" xfId="1406"/>
    <cellStyle name="Accent5 22" xfId="1407"/>
    <cellStyle name="Accent5 23" xfId="1408"/>
    <cellStyle name="Accent5 24" xfId="1409"/>
    <cellStyle name="Accent5 25" xfId="1410"/>
    <cellStyle name="Accent5 26" xfId="1411"/>
    <cellStyle name="Accent5 27" xfId="1412"/>
    <cellStyle name="Accent5 28" xfId="1413"/>
    <cellStyle name="Accent5 29" xfId="1414"/>
    <cellStyle name="Accent5 3" xfId="1415"/>
    <cellStyle name="Accent5 30" xfId="1416"/>
    <cellStyle name="Accent5 31" xfId="1417"/>
    <cellStyle name="Accent5 32" xfId="1418"/>
    <cellStyle name="Accent5 33" xfId="1419"/>
    <cellStyle name="Accent5 34" xfId="1420"/>
    <cellStyle name="Accent5 35" xfId="1421"/>
    <cellStyle name="Accent5 36" xfId="1422"/>
    <cellStyle name="Accent5 37" xfId="1423"/>
    <cellStyle name="Accent5 38" xfId="1424"/>
    <cellStyle name="Accent5 39" xfId="1425"/>
    <cellStyle name="Accent5 4" xfId="1426"/>
    <cellStyle name="Accent5 40" xfId="1427"/>
    <cellStyle name="Accent5 5" xfId="1428"/>
    <cellStyle name="Accent5 6" xfId="1429"/>
    <cellStyle name="Accent5 7" xfId="1430"/>
    <cellStyle name="Accent5 8" xfId="1431"/>
    <cellStyle name="Accent5 9" xfId="1432"/>
    <cellStyle name="Accent6" xfId="1433"/>
    <cellStyle name="Accent6 10" xfId="1434"/>
    <cellStyle name="Accent6 11" xfId="1435"/>
    <cellStyle name="Accent6 12" xfId="1436"/>
    <cellStyle name="Accent6 13" xfId="1437"/>
    <cellStyle name="Accent6 14" xfId="1438"/>
    <cellStyle name="Accent6 15" xfId="1439"/>
    <cellStyle name="Accent6 16" xfId="1440"/>
    <cellStyle name="Accent6 17" xfId="1441"/>
    <cellStyle name="Accent6 18" xfId="1442"/>
    <cellStyle name="Accent6 19" xfId="1443"/>
    <cellStyle name="Accent6 2" xfId="1444"/>
    <cellStyle name="Accent6 20" xfId="1445"/>
    <cellStyle name="Accent6 21" xfId="1446"/>
    <cellStyle name="Accent6 22" xfId="1447"/>
    <cellStyle name="Accent6 23" xfId="1448"/>
    <cellStyle name="Accent6 24" xfId="1449"/>
    <cellStyle name="Accent6 25" xfId="1450"/>
    <cellStyle name="Accent6 26" xfId="1451"/>
    <cellStyle name="Accent6 27" xfId="1452"/>
    <cellStyle name="Accent6 28" xfId="1453"/>
    <cellStyle name="Accent6 29" xfId="1454"/>
    <cellStyle name="Accent6 3" xfId="1455"/>
    <cellStyle name="Accent6 30" xfId="1456"/>
    <cellStyle name="Accent6 31" xfId="1457"/>
    <cellStyle name="Accent6 32" xfId="1458"/>
    <cellStyle name="Accent6 33" xfId="1459"/>
    <cellStyle name="Accent6 34" xfId="1460"/>
    <cellStyle name="Accent6 35" xfId="1461"/>
    <cellStyle name="Accent6 36" xfId="1462"/>
    <cellStyle name="Accent6 37" xfId="1463"/>
    <cellStyle name="Accent6 38" xfId="1464"/>
    <cellStyle name="Accent6 39" xfId="1465"/>
    <cellStyle name="Accent6 4" xfId="1466"/>
    <cellStyle name="Accent6 40" xfId="1467"/>
    <cellStyle name="Accent6 5" xfId="1468"/>
    <cellStyle name="Accent6 6" xfId="1469"/>
    <cellStyle name="Accent6 7" xfId="1470"/>
    <cellStyle name="Accent6 8" xfId="1471"/>
    <cellStyle name="Accent6 9" xfId="1472"/>
    <cellStyle name="Bad" xfId="1473"/>
    <cellStyle name="Bad 10" xfId="1474"/>
    <cellStyle name="Bad 11" xfId="1475"/>
    <cellStyle name="Bad 12" xfId="1476"/>
    <cellStyle name="Bad 13" xfId="1477"/>
    <cellStyle name="Bad 14" xfId="1478"/>
    <cellStyle name="Bad 15" xfId="1479"/>
    <cellStyle name="Bad 16" xfId="1480"/>
    <cellStyle name="Bad 17" xfId="1481"/>
    <cellStyle name="Bad 18" xfId="1482"/>
    <cellStyle name="Bad 19" xfId="1483"/>
    <cellStyle name="Bad 2" xfId="1484"/>
    <cellStyle name="Bad 20" xfId="1485"/>
    <cellStyle name="Bad 21" xfId="1486"/>
    <cellStyle name="Bad 22" xfId="1487"/>
    <cellStyle name="Bad 23" xfId="1488"/>
    <cellStyle name="Bad 24" xfId="1489"/>
    <cellStyle name="Bad 25" xfId="1490"/>
    <cellStyle name="Bad 26" xfId="1491"/>
    <cellStyle name="Bad 27" xfId="1492"/>
    <cellStyle name="Bad 28" xfId="1493"/>
    <cellStyle name="Bad 29" xfId="1494"/>
    <cellStyle name="Bad 3" xfId="1495"/>
    <cellStyle name="Bad 30" xfId="1496"/>
    <cellStyle name="Bad 31" xfId="1497"/>
    <cellStyle name="Bad 32" xfId="1498"/>
    <cellStyle name="Bad 33" xfId="1499"/>
    <cellStyle name="Bad 34" xfId="1500"/>
    <cellStyle name="Bad 35" xfId="1501"/>
    <cellStyle name="Bad 36" xfId="1502"/>
    <cellStyle name="Bad 37" xfId="1503"/>
    <cellStyle name="Bad 38" xfId="1504"/>
    <cellStyle name="Bad 39" xfId="1505"/>
    <cellStyle name="Bad 4" xfId="1506"/>
    <cellStyle name="Bad 40" xfId="1507"/>
    <cellStyle name="Bad 5" xfId="1508"/>
    <cellStyle name="Bad 6" xfId="1509"/>
    <cellStyle name="Bad 7" xfId="1510"/>
    <cellStyle name="Bad 8" xfId="1511"/>
    <cellStyle name="Bad 9" xfId="1512"/>
    <cellStyle name="Calculation" xfId="1513"/>
    <cellStyle name="Calculation 10" xfId="1514"/>
    <cellStyle name="Calculation 11" xfId="1515"/>
    <cellStyle name="Calculation 12" xfId="1516"/>
    <cellStyle name="Calculation 13" xfId="1517"/>
    <cellStyle name="Calculation 14" xfId="1518"/>
    <cellStyle name="Calculation 15" xfId="1519"/>
    <cellStyle name="Calculation 16" xfId="1520"/>
    <cellStyle name="Calculation 17" xfId="1521"/>
    <cellStyle name="Calculation 18" xfId="1522"/>
    <cellStyle name="Calculation 19" xfId="1523"/>
    <cellStyle name="Calculation 2" xfId="1524"/>
    <cellStyle name="Calculation 20" xfId="1525"/>
    <cellStyle name="Calculation 21" xfId="1526"/>
    <cellStyle name="Calculation 22" xfId="1527"/>
    <cellStyle name="Calculation 23" xfId="1528"/>
    <cellStyle name="Calculation 24" xfId="1529"/>
    <cellStyle name="Calculation 25" xfId="1530"/>
    <cellStyle name="Calculation 26" xfId="1531"/>
    <cellStyle name="Calculation 27" xfId="1532"/>
    <cellStyle name="Calculation 28" xfId="1533"/>
    <cellStyle name="Calculation 29" xfId="1534"/>
    <cellStyle name="Calculation 3" xfId="1535"/>
    <cellStyle name="Calculation 30" xfId="1536"/>
    <cellStyle name="Calculation 31" xfId="1537"/>
    <cellStyle name="Calculation 32" xfId="1538"/>
    <cellStyle name="Calculation 33" xfId="1539"/>
    <cellStyle name="Calculation 34" xfId="1540"/>
    <cellStyle name="Calculation 35" xfId="1541"/>
    <cellStyle name="Calculation 36" xfId="1542"/>
    <cellStyle name="Calculation 37" xfId="1543"/>
    <cellStyle name="Calculation 38" xfId="1544"/>
    <cellStyle name="Calculation 39" xfId="1545"/>
    <cellStyle name="Calculation 4" xfId="1546"/>
    <cellStyle name="Calculation 40" xfId="1547"/>
    <cellStyle name="Calculation 5" xfId="1548"/>
    <cellStyle name="Calculation 6" xfId="1549"/>
    <cellStyle name="Calculation 7" xfId="1550"/>
    <cellStyle name="Calculation 8" xfId="1551"/>
    <cellStyle name="Calculation 9" xfId="1552"/>
    <cellStyle name="Check Cell" xfId="1553"/>
    <cellStyle name="Check Cell 10" xfId="1554"/>
    <cellStyle name="Check Cell 11" xfId="1555"/>
    <cellStyle name="Check Cell 12" xfId="1556"/>
    <cellStyle name="Check Cell 13" xfId="1557"/>
    <cellStyle name="Check Cell 14" xfId="1558"/>
    <cellStyle name="Check Cell 15" xfId="1559"/>
    <cellStyle name="Check Cell 16" xfId="1560"/>
    <cellStyle name="Check Cell 17" xfId="1561"/>
    <cellStyle name="Check Cell 18" xfId="1562"/>
    <cellStyle name="Check Cell 19" xfId="1563"/>
    <cellStyle name="Check Cell 2" xfId="1564"/>
    <cellStyle name="Check Cell 20" xfId="1565"/>
    <cellStyle name="Check Cell 21" xfId="1566"/>
    <cellStyle name="Check Cell 22" xfId="1567"/>
    <cellStyle name="Check Cell 23" xfId="1568"/>
    <cellStyle name="Check Cell 24" xfId="1569"/>
    <cellStyle name="Check Cell 25" xfId="1570"/>
    <cellStyle name="Check Cell 26" xfId="1571"/>
    <cellStyle name="Check Cell 27" xfId="1572"/>
    <cellStyle name="Check Cell 28" xfId="1573"/>
    <cellStyle name="Check Cell 29" xfId="1574"/>
    <cellStyle name="Check Cell 3" xfId="1575"/>
    <cellStyle name="Check Cell 30" xfId="1576"/>
    <cellStyle name="Check Cell 31" xfId="1577"/>
    <cellStyle name="Check Cell 32" xfId="1578"/>
    <cellStyle name="Check Cell 33" xfId="1579"/>
    <cellStyle name="Check Cell 34" xfId="1580"/>
    <cellStyle name="Check Cell 35" xfId="1581"/>
    <cellStyle name="Check Cell 36" xfId="1582"/>
    <cellStyle name="Check Cell 37" xfId="1583"/>
    <cellStyle name="Check Cell 38" xfId="1584"/>
    <cellStyle name="Check Cell 39" xfId="1585"/>
    <cellStyle name="Check Cell 4" xfId="1586"/>
    <cellStyle name="Check Cell 40" xfId="1587"/>
    <cellStyle name="Check Cell 5" xfId="1588"/>
    <cellStyle name="Check Cell 6" xfId="1589"/>
    <cellStyle name="Check Cell 7" xfId="1590"/>
    <cellStyle name="Check Cell 8" xfId="1591"/>
    <cellStyle name="Check Cell 9" xfId="1592"/>
    <cellStyle name="Comma" xfId="1593"/>
    <cellStyle name="Comma [0]" xfId="1594"/>
    <cellStyle name="Comma 10" xfId="1595"/>
    <cellStyle name="Comma 10 2" xfId="1596"/>
    <cellStyle name="Comma 10 3" xfId="1597"/>
    <cellStyle name="Comma 10 4" xfId="1598"/>
    <cellStyle name="Comma 10 5" xfId="1599"/>
    <cellStyle name="Comma 11" xfId="1600"/>
    <cellStyle name="Comma 12" xfId="1601"/>
    <cellStyle name="Comma 12 2" xfId="1602"/>
    <cellStyle name="Comma 12 2 2" xfId="1603"/>
    <cellStyle name="Comma 13" xfId="1604"/>
    <cellStyle name="Comma 13 2" xfId="1605"/>
    <cellStyle name="Comma 13 3" xfId="1606"/>
    <cellStyle name="Comma 13 4" xfId="1607"/>
    <cellStyle name="Comma 13 5" xfId="1608"/>
    <cellStyle name="Comma 14" xfId="1609"/>
    <cellStyle name="Comma 14 2" xfId="1610"/>
    <cellStyle name="Comma 14 3" xfId="1611"/>
    <cellStyle name="Comma 14 4" xfId="1612"/>
    <cellStyle name="Comma 15" xfId="1613"/>
    <cellStyle name="Comma 15 2" xfId="1614"/>
    <cellStyle name="Comma 15 3" xfId="1615"/>
    <cellStyle name="Comma 15 4" xfId="1616"/>
    <cellStyle name="Comma 16" xfId="1617"/>
    <cellStyle name="Comma 17" xfId="1618"/>
    <cellStyle name="Comma 18" xfId="1619"/>
    <cellStyle name="Comma 18 2" xfId="1620"/>
    <cellStyle name="Comma 19" xfId="1621"/>
    <cellStyle name="Comma 19 2" xfId="1622"/>
    <cellStyle name="Comma 2" xfId="1623"/>
    <cellStyle name="Comma 2 2" xfId="1624"/>
    <cellStyle name="Comma 2 2 2" xfId="1625"/>
    <cellStyle name="Comma 2 3" xfId="1626"/>
    <cellStyle name="Comma 2 3 2" xfId="1627"/>
    <cellStyle name="Comma 2 4" xfId="1628"/>
    <cellStyle name="Comma 2 5" xfId="1629"/>
    <cellStyle name="Comma 2 6" xfId="1630"/>
    <cellStyle name="Comma 2 6 2" xfId="1631"/>
    <cellStyle name="Comma 2 7" xfId="1632"/>
    <cellStyle name="Comma 20" xfId="1633"/>
    <cellStyle name="Comma 20 2" xfId="1634"/>
    <cellStyle name="Comma 20 3" xfId="1635"/>
    <cellStyle name="Comma 20 3 2" xfId="1636"/>
    <cellStyle name="Comma 21" xfId="1637"/>
    <cellStyle name="Comma 21 2" xfId="1638"/>
    <cellStyle name="Comma 22" xfId="1639"/>
    <cellStyle name="Comma 22 2" xfId="1640"/>
    <cellStyle name="Comma 23" xfId="1641"/>
    <cellStyle name="Comma 23 2" xfId="1642"/>
    <cellStyle name="Comma 3" xfId="1643"/>
    <cellStyle name="Comma 3 2" xfId="1644"/>
    <cellStyle name="Comma 3 2 2" xfId="1645"/>
    <cellStyle name="Comma 3 2 2 2" xfId="1646"/>
    <cellStyle name="Comma 3 3" xfId="1647"/>
    <cellStyle name="Comma 3_หมายเหตุ FA Q3_2012" xfId="1648"/>
    <cellStyle name="Comma 4" xfId="1649"/>
    <cellStyle name="Comma 4 2" xfId="1650"/>
    <cellStyle name="Comma 4 2 2" xfId="1651"/>
    <cellStyle name="Comma 4 2 3" xfId="1652"/>
    <cellStyle name="Comma 4 2 4" xfId="1653"/>
    <cellStyle name="Comma 4 2 5" xfId="1654"/>
    <cellStyle name="Comma 4 3" xfId="1655"/>
    <cellStyle name="Comma 4 4" xfId="1656"/>
    <cellStyle name="Comma 4 5" xfId="1657"/>
    <cellStyle name="Comma 5" xfId="1658"/>
    <cellStyle name="Comma 5 2" xfId="1659"/>
    <cellStyle name="Comma 6" xfId="1660"/>
    <cellStyle name="Comma 6 2" xfId="1661"/>
    <cellStyle name="Comma 7" xfId="1662"/>
    <cellStyle name="Comma 7 2" xfId="1663"/>
    <cellStyle name="Comma 8" xfId="1664"/>
    <cellStyle name="Comma 8 2" xfId="1665"/>
    <cellStyle name="Comma 8 3" xfId="1666"/>
    <cellStyle name="Comma 8 4" xfId="1667"/>
    <cellStyle name="Comma 8 5" xfId="1668"/>
    <cellStyle name="Comma 9" xfId="1669"/>
    <cellStyle name="Comma 9 2" xfId="1670"/>
    <cellStyle name="comma zerodec" xfId="1671"/>
    <cellStyle name="comma zerodec 2" xfId="1672"/>
    <cellStyle name="comma zerodec_หมายเหตุ FA Q3_2012" xfId="1673"/>
    <cellStyle name="Comma_SPI-Dec'49t-3 2" xfId="1674"/>
    <cellStyle name="Currency" xfId="1675"/>
    <cellStyle name="Currency [0]" xfId="1676"/>
    <cellStyle name="Currency [0] 2" xfId="1677"/>
    <cellStyle name="Currency [0] 2 2" xfId="1678"/>
    <cellStyle name="Currency [0] 2 3" xfId="1679"/>
    <cellStyle name="Currency [0] 2 4" xfId="1680"/>
    <cellStyle name="Currency 2" xfId="1681"/>
    <cellStyle name="Currency 3" xfId="1682"/>
    <cellStyle name="Currency1" xfId="1683"/>
    <cellStyle name="Currency1 2" xfId="1684"/>
    <cellStyle name="Currency1 28" xfId="1685"/>
    <cellStyle name="Currency1 28 2" xfId="1686"/>
    <cellStyle name="Currency1_หมายเหตุ FA Q3_2012" xfId="1687"/>
    <cellStyle name="Dollar (zero dec)" xfId="1688"/>
    <cellStyle name="Dollar (zero dec) 2" xfId="1689"/>
    <cellStyle name="Dollar (zero dec)_หมายเหตุ FA Q3_2012" xfId="1690"/>
    <cellStyle name="Excel Built-in Normal" xfId="1691"/>
    <cellStyle name="Explanatory Text" xfId="1692"/>
    <cellStyle name="Explanatory Text 10" xfId="1693"/>
    <cellStyle name="Explanatory Text 11" xfId="1694"/>
    <cellStyle name="Explanatory Text 12" xfId="1695"/>
    <cellStyle name="Explanatory Text 13" xfId="1696"/>
    <cellStyle name="Explanatory Text 14" xfId="1697"/>
    <cellStyle name="Explanatory Text 15" xfId="1698"/>
    <cellStyle name="Explanatory Text 16" xfId="1699"/>
    <cellStyle name="Explanatory Text 17" xfId="1700"/>
    <cellStyle name="Explanatory Text 18" xfId="1701"/>
    <cellStyle name="Explanatory Text 19" xfId="1702"/>
    <cellStyle name="Explanatory Text 2" xfId="1703"/>
    <cellStyle name="Explanatory Text 20" xfId="1704"/>
    <cellStyle name="Explanatory Text 21" xfId="1705"/>
    <cellStyle name="Explanatory Text 22" xfId="1706"/>
    <cellStyle name="Explanatory Text 23" xfId="1707"/>
    <cellStyle name="Explanatory Text 24" xfId="1708"/>
    <cellStyle name="Explanatory Text 25" xfId="1709"/>
    <cellStyle name="Explanatory Text 26" xfId="1710"/>
    <cellStyle name="Explanatory Text 27" xfId="1711"/>
    <cellStyle name="Explanatory Text 28" xfId="1712"/>
    <cellStyle name="Explanatory Text 29" xfId="1713"/>
    <cellStyle name="Explanatory Text 3" xfId="1714"/>
    <cellStyle name="Explanatory Text 30" xfId="1715"/>
    <cellStyle name="Explanatory Text 31" xfId="1716"/>
    <cellStyle name="Explanatory Text 32" xfId="1717"/>
    <cellStyle name="Explanatory Text 33" xfId="1718"/>
    <cellStyle name="Explanatory Text 34" xfId="1719"/>
    <cellStyle name="Explanatory Text 35" xfId="1720"/>
    <cellStyle name="Explanatory Text 36" xfId="1721"/>
    <cellStyle name="Explanatory Text 37" xfId="1722"/>
    <cellStyle name="Explanatory Text 38" xfId="1723"/>
    <cellStyle name="Explanatory Text 39" xfId="1724"/>
    <cellStyle name="Explanatory Text 4" xfId="1725"/>
    <cellStyle name="Explanatory Text 40" xfId="1726"/>
    <cellStyle name="Explanatory Text 5" xfId="1727"/>
    <cellStyle name="Explanatory Text 6" xfId="1728"/>
    <cellStyle name="Explanatory Text 7" xfId="1729"/>
    <cellStyle name="Explanatory Text 8" xfId="1730"/>
    <cellStyle name="Explanatory Text 9" xfId="1731"/>
    <cellStyle name="Followed Hyperlink" xfId="1732"/>
    <cellStyle name="Good" xfId="1733"/>
    <cellStyle name="Good 10" xfId="1734"/>
    <cellStyle name="Good 11" xfId="1735"/>
    <cellStyle name="Good 12" xfId="1736"/>
    <cellStyle name="Good 13" xfId="1737"/>
    <cellStyle name="Good 14" xfId="1738"/>
    <cellStyle name="Good 15" xfId="1739"/>
    <cellStyle name="Good 16" xfId="1740"/>
    <cellStyle name="Good 17" xfId="1741"/>
    <cellStyle name="Good 18" xfId="1742"/>
    <cellStyle name="Good 19" xfId="1743"/>
    <cellStyle name="Good 2" xfId="1744"/>
    <cellStyle name="Good 20" xfId="1745"/>
    <cellStyle name="Good 21" xfId="1746"/>
    <cellStyle name="Good 22" xfId="1747"/>
    <cellStyle name="Good 23" xfId="1748"/>
    <cellStyle name="Good 24" xfId="1749"/>
    <cellStyle name="Good 25" xfId="1750"/>
    <cellStyle name="Good 26" xfId="1751"/>
    <cellStyle name="Good 27" xfId="1752"/>
    <cellStyle name="Good 28" xfId="1753"/>
    <cellStyle name="Good 29" xfId="1754"/>
    <cellStyle name="Good 3" xfId="1755"/>
    <cellStyle name="Good 30" xfId="1756"/>
    <cellStyle name="Good 31" xfId="1757"/>
    <cellStyle name="Good 32" xfId="1758"/>
    <cellStyle name="Good 33" xfId="1759"/>
    <cellStyle name="Good 34" xfId="1760"/>
    <cellStyle name="Good 35" xfId="1761"/>
    <cellStyle name="Good 36" xfId="1762"/>
    <cellStyle name="Good 37" xfId="1763"/>
    <cellStyle name="Good 38" xfId="1764"/>
    <cellStyle name="Good 39" xfId="1765"/>
    <cellStyle name="Good 4" xfId="1766"/>
    <cellStyle name="Good 40" xfId="1767"/>
    <cellStyle name="Good 5" xfId="1768"/>
    <cellStyle name="Good 6" xfId="1769"/>
    <cellStyle name="Good 7" xfId="1770"/>
    <cellStyle name="Good 8" xfId="1771"/>
    <cellStyle name="Good 9" xfId="1772"/>
    <cellStyle name="Grey" xfId="1773"/>
    <cellStyle name="Grey 2" xfId="1774"/>
    <cellStyle name="Header1" xfId="1775"/>
    <cellStyle name="Header2" xfId="1776"/>
    <cellStyle name="Heading 1" xfId="1777"/>
    <cellStyle name="Heading 1 10" xfId="1778"/>
    <cellStyle name="Heading 1 11" xfId="1779"/>
    <cellStyle name="Heading 1 12" xfId="1780"/>
    <cellStyle name="Heading 1 13" xfId="1781"/>
    <cellStyle name="Heading 1 14" xfId="1782"/>
    <cellStyle name="Heading 1 15" xfId="1783"/>
    <cellStyle name="Heading 1 16" xfId="1784"/>
    <cellStyle name="Heading 1 17" xfId="1785"/>
    <cellStyle name="Heading 1 18" xfId="1786"/>
    <cellStyle name="Heading 1 19" xfId="1787"/>
    <cellStyle name="Heading 1 2" xfId="1788"/>
    <cellStyle name="Heading 1 20" xfId="1789"/>
    <cellStyle name="Heading 1 21" xfId="1790"/>
    <cellStyle name="Heading 1 22" xfId="1791"/>
    <cellStyle name="Heading 1 23" xfId="1792"/>
    <cellStyle name="Heading 1 24" xfId="1793"/>
    <cellStyle name="Heading 1 25" xfId="1794"/>
    <cellStyle name="Heading 1 26" xfId="1795"/>
    <cellStyle name="Heading 1 27" xfId="1796"/>
    <cellStyle name="Heading 1 28" xfId="1797"/>
    <cellStyle name="Heading 1 29" xfId="1798"/>
    <cellStyle name="Heading 1 3" xfId="1799"/>
    <cellStyle name="Heading 1 30" xfId="1800"/>
    <cellStyle name="Heading 1 31" xfId="1801"/>
    <cellStyle name="Heading 1 32" xfId="1802"/>
    <cellStyle name="Heading 1 33" xfId="1803"/>
    <cellStyle name="Heading 1 34" xfId="1804"/>
    <cellStyle name="Heading 1 35" xfId="1805"/>
    <cellStyle name="Heading 1 36" xfId="1806"/>
    <cellStyle name="Heading 1 37" xfId="1807"/>
    <cellStyle name="Heading 1 38" xfId="1808"/>
    <cellStyle name="Heading 1 39" xfId="1809"/>
    <cellStyle name="Heading 1 4" xfId="1810"/>
    <cellStyle name="Heading 1 40" xfId="1811"/>
    <cellStyle name="Heading 1 5" xfId="1812"/>
    <cellStyle name="Heading 1 6" xfId="1813"/>
    <cellStyle name="Heading 1 7" xfId="1814"/>
    <cellStyle name="Heading 1 8" xfId="1815"/>
    <cellStyle name="Heading 1 9" xfId="1816"/>
    <cellStyle name="Heading 2" xfId="1817"/>
    <cellStyle name="Heading 2 10" xfId="1818"/>
    <cellStyle name="Heading 2 11" xfId="1819"/>
    <cellStyle name="Heading 2 12" xfId="1820"/>
    <cellStyle name="Heading 2 13" xfId="1821"/>
    <cellStyle name="Heading 2 14" xfId="1822"/>
    <cellStyle name="Heading 2 15" xfId="1823"/>
    <cellStyle name="Heading 2 16" xfId="1824"/>
    <cellStyle name="Heading 2 17" xfId="1825"/>
    <cellStyle name="Heading 2 18" xfId="1826"/>
    <cellStyle name="Heading 2 19" xfId="1827"/>
    <cellStyle name="Heading 2 2" xfId="1828"/>
    <cellStyle name="Heading 2 20" xfId="1829"/>
    <cellStyle name="Heading 2 21" xfId="1830"/>
    <cellStyle name="Heading 2 22" xfId="1831"/>
    <cellStyle name="Heading 2 23" xfId="1832"/>
    <cellStyle name="Heading 2 24" xfId="1833"/>
    <cellStyle name="Heading 2 25" xfId="1834"/>
    <cellStyle name="Heading 2 26" xfId="1835"/>
    <cellStyle name="Heading 2 27" xfId="1836"/>
    <cellStyle name="Heading 2 28" xfId="1837"/>
    <cellStyle name="Heading 2 29" xfId="1838"/>
    <cellStyle name="Heading 2 3" xfId="1839"/>
    <cellStyle name="Heading 2 30" xfId="1840"/>
    <cellStyle name="Heading 2 31" xfId="1841"/>
    <cellStyle name="Heading 2 32" xfId="1842"/>
    <cellStyle name="Heading 2 33" xfId="1843"/>
    <cellStyle name="Heading 2 34" xfId="1844"/>
    <cellStyle name="Heading 2 35" xfId="1845"/>
    <cellStyle name="Heading 2 36" xfId="1846"/>
    <cellStyle name="Heading 2 37" xfId="1847"/>
    <cellStyle name="Heading 2 38" xfId="1848"/>
    <cellStyle name="Heading 2 39" xfId="1849"/>
    <cellStyle name="Heading 2 4" xfId="1850"/>
    <cellStyle name="Heading 2 40" xfId="1851"/>
    <cellStyle name="Heading 2 5" xfId="1852"/>
    <cellStyle name="Heading 2 6" xfId="1853"/>
    <cellStyle name="Heading 2 7" xfId="1854"/>
    <cellStyle name="Heading 2 8" xfId="1855"/>
    <cellStyle name="Heading 2 9" xfId="1856"/>
    <cellStyle name="Heading 3" xfId="1857"/>
    <cellStyle name="Heading 3 10" xfId="1858"/>
    <cellStyle name="Heading 3 11" xfId="1859"/>
    <cellStyle name="Heading 3 12" xfId="1860"/>
    <cellStyle name="Heading 3 13" xfId="1861"/>
    <cellStyle name="Heading 3 14" xfId="1862"/>
    <cellStyle name="Heading 3 15" xfId="1863"/>
    <cellStyle name="Heading 3 16" xfId="1864"/>
    <cellStyle name="Heading 3 17" xfId="1865"/>
    <cellStyle name="Heading 3 18" xfId="1866"/>
    <cellStyle name="Heading 3 19" xfId="1867"/>
    <cellStyle name="Heading 3 2" xfId="1868"/>
    <cellStyle name="Heading 3 20" xfId="1869"/>
    <cellStyle name="Heading 3 21" xfId="1870"/>
    <cellStyle name="Heading 3 22" xfId="1871"/>
    <cellStyle name="Heading 3 23" xfId="1872"/>
    <cellStyle name="Heading 3 24" xfId="1873"/>
    <cellStyle name="Heading 3 25" xfId="1874"/>
    <cellStyle name="Heading 3 26" xfId="1875"/>
    <cellStyle name="Heading 3 27" xfId="1876"/>
    <cellStyle name="Heading 3 28" xfId="1877"/>
    <cellStyle name="Heading 3 29" xfId="1878"/>
    <cellStyle name="Heading 3 3" xfId="1879"/>
    <cellStyle name="Heading 3 30" xfId="1880"/>
    <cellStyle name="Heading 3 31" xfId="1881"/>
    <cellStyle name="Heading 3 32" xfId="1882"/>
    <cellStyle name="Heading 3 33" xfId="1883"/>
    <cellStyle name="Heading 3 34" xfId="1884"/>
    <cellStyle name="Heading 3 35" xfId="1885"/>
    <cellStyle name="Heading 3 36" xfId="1886"/>
    <cellStyle name="Heading 3 37" xfId="1887"/>
    <cellStyle name="Heading 3 38" xfId="1888"/>
    <cellStyle name="Heading 3 39" xfId="1889"/>
    <cellStyle name="Heading 3 4" xfId="1890"/>
    <cellStyle name="Heading 3 40" xfId="1891"/>
    <cellStyle name="Heading 3 5" xfId="1892"/>
    <cellStyle name="Heading 3 6" xfId="1893"/>
    <cellStyle name="Heading 3 7" xfId="1894"/>
    <cellStyle name="Heading 3 8" xfId="1895"/>
    <cellStyle name="Heading 3 9" xfId="1896"/>
    <cellStyle name="Heading 4" xfId="1897"/>
    <cellStyle name="Heading 4 10" xfId="1898"/>
    <cellStyle name="Heading 4 11" xfId="1899"/>
    <cellStyle name="Heading 4 12" xfId="1900"/>
    <cellStyle name="Heading 4 13" xfId="1901"/>
    <cellStyle name="Heading 4 14" xfId="1902"/>
    <cellStyle name="Heading 4 15" xfId="1903"/>
    <cellStyle name="Heading 4 16" xfId="1904"/>
    <cellStyle name="Heading 4 17" xfId="1905"/>
    <cellStyle name="Heading 4 18" xfId="1906"/>
    <cellStyle name="Heading 4 19" xfId="1907"/>
    <cellStyle name="Heading 4 2" xfId="1908"/>
    <cellStyle name="Heading 4 20" xfId="1909"/>
    <cellStyle name="Heading 4 21" xfId="1910"/>
    <cellStyle name="Heading 4 22" xfId="1911"/>
    <cellStyle name="Heading 4 23" xfId="1912"/>
    <cellStyle name="Heading 4 24" xfId="1913"/>
    <cellStyle name="Heading 4 25" xfId="1914"/>
    <cellStyle name="Heading 4 26" xfId="1915"/>
    <cellStyle name="Heading 4 27" xfId="1916"/>
    <cellStyle name="Heading 4 28" xfId="1917"/>
    <cellStyle name="Heading 4 29" xfId="1918"/>
    <cellStyle name="Heading 4 3" xfId="1919"/>
    <cellStyle name="Heading 4 30" xfId="1920"/>
    <cellStyle name="Heading 4 31" xfId="1921"/>
    <cellStyle name="Heading 4 32" xfId="1922"/>
    <cellStyle name="Heading 4 33" xfId="1923"/>
    <cellStyle name="Heading 4 34" xfId="1924"/>
    <cellStyle name="Heading 4 35" xfId="1925"/>
    <cellStyle name="Heading 4 36" xfId="1926"/>
    <cellStyle name="Heading 4 37" xfId="1927"/>
    <cellStyle name="Heading 4 38" xfId="1928"/>
    <cellStyle name="Heading 4 39" xfId="1929"/>
    <cellStyle name="Heading 4 4" xfId="1930"/>
    <cellStyle name="Heading 4 40" xfId="1931"/>
    <cellStyle name="Heading 4 5" xfId="1932"/>
    <cellStyle name="Heading 4 6" xfId="1933"/>
    <cellStyle name="Heading 4 7" xfId="1934"/>
    <cellStyle name="Heading 4 8" xfId="1935"/>
    <cellStyle name="Heading 4 9" xfId="1936"/>
    <cellStyle name="Hyperlink" xfId="1937"/>
    <cellStyle name="Input" xfId="1938"/>
    <cellStyle name="Input [yellow]" xfId="1939"/>
    <cellStyle name="Input [yellow] 2" xfId="1940"/>
    <cellStyle name="Input 10" xfId="1941"/>
    <cellStyle name="Input 11" xfId="1942"/>
    <cellStyle name="Input 12" xfId="1943"/>
    <cellStyle name="Input 13" xfId="1944"/>
    <cellStyle name="Input 14" xfId="1945"/>
    <cellStyle name="Input 15" xfId="1946"/>
    <cellStyle name="Input 16" xfId="1947"/>
    <cellStyle name="Input 17" xfId="1948"/>
    <cellStyle name="Input 18" xfId="1949"/>
    <cellStyle name="Input 19" xfId="1950"/>
    <cellStyle name="Input 2" xfId="1951"/>
    <cellStyle name="Input 20" xfId="1952"/>
    <cellStyle name="Input 21" xfId="1953"/>
    <cellStyle name="Input 22" xfId="1954"/>
    <cellStyle name="Input 23" xfId="1955"/>
    <cellStyle name="Input 24" xfId="1956"/>
    <cellStyle name="Input 25" xfId="1957"/>
    <cellStyle name="Input 26" xfId="1958"/>
    <cellStyle name="Input 27" xfId="1959"/>
    <cellStyle name="Input 28" xfId="1960"/>
    <cellStyle name="Input 29" xfId="1961"/>
    <cellStyle name="Input 3" xfId="1962"/>
    <cellStyle name="Input 30" xfId="1963"/>
    <cellStyle name="Input 31" xfId="1964"/>
    <cellStyle name="Input 32" xfId="1965"/>
    <cellStyle name="Input 33" xfId="1966"/>
    <cellStyle name="Input 34" xfId="1967"/>
    <cellStyle name="Input 35" xfId="1968"/>
    <cellStyle name="Input 36" xfId="1969"/>
    <cellStyle name="Input 37" xfId="1970"/>
    <cellStyle name="Input 38" xfId="1971"/>
    <cellStyle name="Input 39" xfId="1972"/>
    <cellStyle name="Input 4" xfId="1973"/>
    <cellStyle name="Input 40" xfId="1974"/>
    <cellStyle name="Input 41" xfId="1975"/>
    <cellStyle name="Input 42" xfId="1976"/>
    <cellStyle name="Input 43" xfId="1977"/>
    <cellStyle name="Input 44" xfId="1978"/>
    <cellStyle name="Input 5" xfId="1979"/>
    <cellStyle name="Input 6" xfId="1980"/>
    <cellStyle name="Input 7" xfId="1981"/>
    <cellStyle name="Input 8" xfId="1982"/>
    <cellStyle name="Input 9" xfId="1983"/>
    <cellStyle name="Linked Cell" xfId="1984"/>
    <cellStyle name="Linked Cell 10" xfId="1985"/>
    <cellStyle name="Linked Cell 11" xfId="1986"/>
    <cellStyle name="Linked Cell 12" xfId="1987"/>
    <cellStyle name="Linked Cell 13" xfId="1988"/>
    <cellStyle name="Linked Cell 14" xfId="1989"/>
    <cellStyle name="Linked Cell 15" xfId="1990"/>
    <cellStyle name="Linked Cell 16" xfId="1991"/>
    <cellStyle name="Linked Cell 17" xfId="1992"/>
    <cellStyle name="Linked Cell 18" xfId="1993"/>
    <cellStyle name="Linked Cell 19" xfId="1994"/>
    <cellStyle name="Linked Cell 2" xfId="1995"/>
    <cellStyle name="Linked Cell 20" xfId="1996"/>
    <cellStyle name="Linked Cell 21" xfId="1997"/>
    <cellStyle name="Linked Cell 22" xfId="1998"/>
    <cellStyle name="Linked Cell 23" xfId="1999"/>
    <cellStyle name="Linked Cell 24" xfId="2000"/>
    <cellStyle name="Linked Cell 25" xfId="2001"/>
    <cellStyle name="Linked Cell 26" xfId="2002"/>
    <cellStyle name="Linked Cell 27" xfId="2003"/>
    <cellStyle name="Linked Cell 28" xfId="2004"/>
    <cellStyle name="Linked Cell 29" xfId="2005"/>
    <cellStyle name="Linked Cell 3" xfId="2006"/>
    <cellStyle name="Linked Cell 30" xfId="2007"/>
    <cellStyle name="Linked Cell 31" xfId="2008"/>
    <cellStyle name="Linked Cell 32" xfId="2009"/>
    <cellStyle name="Linked Cell 33" xfId="2010"/>
    <cellStyle name="Linked Cell 34" xfId="2011"/>
    <cellStyle name="Linked Cell 35" xfId="2012"/>
    <cellStyle name="Linked Cell 36" xfId="2013"/>
    <cellStyle name="Linked Cell 37" xfId="2014"/>
    <cellStyle name="Linked Cell 38" xfId="2015"/>
    <cellStyle name="Linked Cell 39" xfId="2016"/>
    <cellStyle name="Linked Cell 4" xfId="2017"/>
    <cellStyle name="Linked Cell 40" xfId="2018"/>
    <cellStyle name="Linked Cell 5" xfId="2019"/>
    <cellStyle name="Linked Cell 6" xfId="2020"/>
    <cellStyle name="Linked Cell 7" xfId="2021"/>
    <cellStyle name="Linked Cell 8" xfId="2022"/>
    <cellStyle name="Linked Cell 9" xfId="2023"/>
    <cellStyle name="Neutral" xfId="2024"/>
    <cellStyle name="Neutral 10" xfId="2025"/>
    <cellStyle name="Neutral 11" xfId="2026"/>
    <cellStyle name="Neutral 12" xfId="2027"/>
    <cellStyle name="Neutral 13" xfId="2028"/>
    <cellStyle name="Neutral 14" xfId="2029"/>
    <cellStyle name="Neutral 15" xfId="2030"/>
    <cellStyle name="Neutral 16" xfId="2031"/>
    <cellStyle name="Neutral 17" xfId="2032"/>
    <cellStyle name="Neutral 18" xfId="2033"/>
    <cellStyle name="Neutral 19" xfId="2034"/>
    <cellStyle name="Neutral 2" xfId="2035"/>
    <cellStyle name="Neutral 20" xfId="2036"/>
    <cellStyle name="Neutral 21" xfId="2037"/>
    <cellStyle name="Neutral 22" xfId="2038"/>
    <cellStyle name="Neutral 23" xfId="2039"/>
    <cellStyle name="Neutral 24" xfId="2040"/>
    <cellStyle name="Neutral 25" xfId="2041"/>
    <cellStyle name="Neutral 26" xfId="2042"/>
    <cellStyle name="Neutral 27" xfId="2043"/>
    <cellStyle name="Neutral 28" xfId="2044"/>
    <cellStyle name="Neutral 29" xfId="2045"/>
    <cellStyle name="Neutral 3" xfId="2046"/>
    <cellStyle name="Neutral 30" xfId="2047"/>
    <cellStyle name="Neutral 31" xfId="2048"/>
    <cellStyle name="Neutral 32" xfId="2049"/>
    <cellStyle name="Neutral 33" xfId="2050"/>
    <cellStyle name="Neutral 34" xfId="2051"/>
    <cellStyle name="Neutral 35" xfId="2052"/>
    <cellStyle name="Neutral 36" xfId="2053"/>
    <cellStyle name="Neutral 37" xfId="2054"/>
    <cellStyle name="Neutral 38" xfId="2055"/>
    <cellStyle name="Neutral 39" xfId="2056"/>
    <cellStyle name="Neutral 4" xfId="2057"/>
    <cellStyle name="Neutral 40" xfId="2058"/>
    <cellStyle name="Neutral 5" xfId="2059"/>
    <cellStyle name="Neutral 6" xfId="2060"/>
    <cellStyle name="Neutral 7" xfId="2061"/>
    <cellStyle name="Neutral 8" xfId="2062"/>
    <cellStyle name="Neutral 9" xfId="2063"/>
    <cellStyle name="no dec" xfId="2064"/>
    <cellStyle name="Normal - Style1" xfId="2065"/>
    <cellStyle name="Normal - Style1 2" xfId="2066"/>
    <cellStyle name="Normal 10" xfId="2067"/>
    <cellStyle name="Normal 10 2" xfId="2068"/>
    <cellStyle name="Normal 11" xfId="2069"/>
    <cellStyle name="Normal 11 2" xfId="2070"/>
    <cellStyle name="Normal 12" xfId="2071"/>
    <cellStyle name="Normal 12 2" xfId="2072"/>
    <cellStyle name="Normal 13" xfId="2073"/>
    <cellStyle name="Normal 13 2" xfId="2074"/>
    <cellStyle name="Normal 14" xfId="2075"/>
    <cellStyle name="Normal 14 2" xfId="2076"/>
    <cellStyle name="Normal 15" xfId="2077"/>
    <cellStyle name="Normal 15 2" xfId="2078"/>
    <cellStyle name="Normal 16" xfId="2079"/>
    <cellStyle name="Normal 16 2" xfId="2080"/>
    <cellStyle name="Normal 17" xfId="2081"/>
    <cellStyle name="Normal 17 2" xfId="2082"/>
    <cellStyle name="Normal 18" xfId="2083"/>
    <cellStyle name="Normal 18 2" xfId="2084"/>
    <cellStyle name="Normal 19" xfId="2085"/>
    <cellStyle name="Normal 19 2" xfId="2086"/>
    <cellStyle name="Normal 2" xfId="2087"/>
    <cellStyle name="Normal 2 10" xfId="2088"/>
    <cellStyle name="Normal 2 2" xfId="2089"/>
    <cellStyle name="Normal 2 2 2" xfId="2090"/>
    <cellStyle name="Normal 2 2 3" xfId="2091"/>
    <cellStyle name="Normal 2 3" xfId="2092"/>
    <cellStyle name="Normal 2 3 2" xfId="2093"/>
    <cellStyle name="Normal 2 4" xfId="2094"/>
    <cellStyle name="Normal 2 5" xfId="2095"/>
    <cellStyle name="Normal 2_Note new STD" xfId="2096"/>
    <cellStyle name="Normal 20" xfId="2097"/>
    <cellStyle name="Normal 20 2" xfId="2098"/>
    <cellStyle name="Normal 21" xfId="2099"/>
    <cellStyle name="Normal 21 2" xfId="2100"/>
    <cellStyle name="Normal 22" xfId="2101"/>
    <cellStyle name="Normal 22 2" xfId="2102"/>
    <cellStyle name="Normal 23" xfId="2103"/>
    <cellStyle name="Normal 23 2" xfId="2104"/>
    <cellStyle name="Normal 24" xfId="2105"/>
    <cellStyle name="Normal 24 2" xfId="2106"/>
    <cellStyle name="Normal 25" xfId="2107"/>
    <cellStyle name="Normal 25 2" xfId="2108"/>
    <cellStyle name="Normal 26" xfId="2109"/>
    <cellStyle name="Normal 26 2" xfId="2110"/>
    <cellStyle name="Normal 27" xfId="2111"/>
    <cellStyle name="Normal 27 2" xfId="2112"/>
    <cellStyle name="Normal 28" xfId="2113"/>
    <cellStyle name="Normal 28 2" xfId="2114"/>
    <cellStyle name="Normal 29" xfId="2115"/>
    <cellStyle name="Normal 29 2" xfId="2116"/>
    <cellStyle name="Normal 3" xfId="2117"/>
    <cellStyle name="Normal 3 2" xfId="2118"/>
    <cellStyle name="Normal 3 2 2" xfId="2119"/>
    <cellStyle name="Normal 3 2 3" xfId="2120"/>
    <cellStyle name="Normal 3 2 4" xfId="2121"/>
    <cellStyle name="Normal 3 2 5" xfId="2122"/>
    <cellStyle name="Normal 3 2_SPI-Dec'50t-3" xfId="2123"/>
    <cellStyle name="Normal 3 3" xfId="2124"/>
    <cellStyle name="Normal 3 4" xfId="2125"/>
    <cellStyle name="Normal 3 5" xfId="2126"/>
    <cellStyle name="Normal 3_QLT-Q3'54-LEAD" xfId="2127"/>
    <cellStyle name="Normal 30" xfId="2128"/>
    <cellStyle name="Normal 30 2" xfId="2129"/>
    <cellStyle name="Normal 31" xfId="2130"/>
    <cellStyle name="Normal 31 2" xfId="2131"/>
    <cellStyle name="Normal 32" xfId="2132"/>
    <cellStyle name="Normal 32 2" xfId="2133"/>
    <cellStyle name="Normal 33" xfId="2134"/>
    <cellStyle name="Normal 33 2" xfId="2135"/>
    <cellStyle name="Normal 34" xfId="2136"/>
    <cellStyle name="Normal 34 2" xfId="2137"/>
    <cellStyle name="Normal 35" xfId="2138"/>
    <cellStyle name="Normal 35 2" xfId="2139"/>
    <cellStyle name="Normal 36" xfId="2140"/>
    <cellStyle name="Normal 36 2" xfId="2141"/>
    <cellStyle name="Normal 37" xfId="2142"/>
    <cellStyle name="Normal 37 2" xfId="2143"/>
    <cellStyle name="Normal 38" xfId="2144"/>
    <cellStyle name="Normal 38 2" xfId="2145"/>
    <cellStyle name="Normal 39" xfId="2146"/>
    <cellStyle name="Normal 39 2" xfId="2147"/>
    <cellStyle name="Normal 4" xfId="2148"/>
    <cellStyle name="Normal 4 2" xfId="2149"/>
    <cellStyle name="Normal 4 3" xfId="2150"/>
    <cellStyle name="Normal 4_J136_JSW_Lead_Q1'52_090710" xfId="2151"/>
    <cellStyle name="Normal 40" xfId="2152"/>
    <cellStyle name="Normal 40 2" xfId="2153"/>
    <cellStyle name="Normal 41" xfId="2154"/>
    <cellStyle name="Normal 41 2" xfId="2155"/>
    <cellStyle name="Normal 42" xfId="2156"/>
    <cellStyle name="Normal 42 2" xfId="2157"/>
    <cellStyle name="Normal 42 2 2" xfId="2158"/>
    <cellStyle name="Normal 43" xfId="2159"/>
    <cellStyle name="Normal 43 2" xfId="2160"/>
    <cellStyle name="Normal 43 2 2" xfId="2161"/>
    <cellStyle name="Normal 44" xfId="2162"/>
    <cellStyle name="Normal 45" xfId="2163"/>
    <cellStyle name="Normal 46" xfId="2164"/>
    <cellStyle name="Normal 47" xfId="2165"/>
    <cellStyle name="Normal 47 2" xfId="2166"/>
    <cellStyle name="Normal 48" xfId="2167"/>
    <cellStyle name="Normal 49" xfId="2168"/>
    <cellStyle name="Normal 5" xfId="2169"/>
    <cellStyle name="Normal 5 2" xfId="2170"/>
    <cellStyle name="Normal 5 3" xfId="2171"/>
    <cellStyle name="Normal 5 4" xfId="2172"/>
    <cellStyle name="Normal 5 5" xfId="2173"/>
    <cellStyle name="Normal 50" xfId="2174"/>
    <cellStyle name="Normal 51" xfId="2175"/>
    <cellStyle name="Normal 52" xfId="2176"/>
    <cellStyle name="Normal 53" xfId="2177"/>
    <cellStyle name="Normal 54" xfId="2178"/>
    <cellStyle name="Normal 55" xfId="2179"/>
    <cellStyle name="Normal 56" xfId="2180"/>
    <cellStyle name="Normal 57" xfId="2181"/>
    <cellStyle name="Normal 58" xfId="2182"/>
    <cellStyle name="Normal 59" xfId="2183"/>
    <cellStyle name="Normal 6" xfId="2184"/>
    <cellStyle name="Normal 6 2" xfId="2185"/>
    <cellStyle name="Normal 6 3" xfId="2186"/>
    <cellStyle name="Normal 60" xfId="2187"/>
    <cellStyle name="Normal 61" xfId="2188"/>
    <cellStyle name="Normal 62" xfId="2189"/>
    <cellStyle name="Normal 7" xfId="2190"/>
    <cellStyle name="Normal 7 2" xfId="2191"/>
    <cellStyle name="Normal 7 2 2" xfId="2192"/>
    <cellStyle name="Normal 7 3" xfId="2193"/>
    <cellStyle name="Normal 8" xfId="2194"/>
    <cellStyle name="Normal 8 2" xfId="2195"/>
    <cellStyle name="Normal 8 2 2" xfId="2196"/>
    <cellStyle name="Normal 8 3" xfId="2197"/>
    <cellStyle name="Normal 9" xfId="2198"/>
    <cellStyle name="Normal 9 2" xfId="2199"/>
    <cellStyle name="Normal 9 2 2" xfId="2200"/>
    <cellStyle name="Normal 9 3" xfId="2201"/>
    <cellStyle name="Normal_Book1 2" xfId="2202"/>
    <cellStyle name="Normal_C779A0245" xfId="2203"/>
    <cellStyle name="Normal_C779A0245 2" xfId="2204"/>
    <cellStyle name="Normal_SPI-Dec'49t-3 2" xfId="2205"/>
    <cellStyle name="Normal_SPI-Dec'49t-3_Note 2" xfId="2206"/>
    <cellStyle name="Normal_SPI-Mar'48t-3 2" xfId="2207"/>
    <cellStyle name="Note" xfId="2208"/>
    <cellStyle name="Note 10" xfId="2209"/>
    <cellStyle name="Note 10 2" xfId="2210"/>
    <cellStyle name="Note 10_หมายเหตุ FA Q3_2012" xfId="2211"/>
    <cellStyle name="Note 11" xfId="2212"/>
    <cellStyle name="Note 11 2" xfId="2213"/>
    <cellStyle name="Note 11_หมายเหตุ FA Q3_2012" xfId="2214"/>
    <cellStyle name="Note 12" xfId="2215"/>
    <cellStyle name="Note 12 2" xfId="2216"/>
    <cellStyle name="Note 12_หมายเหตุ FA Q3_2012" xfId="2217"/>
    <cellStyle name="Note 13" xfId="2218"/>
    <cellStyle name="Note 13 2" xfId="2219"/>
    <cellStyle name="Note 13_หมายเหตุ FA Q3_2012" xfId="2220"/>
    <cellStyle name="Note 14" xfId="2221"/>
    <cellStyle name="Note 14 2" xfId="2222"/>
    <cellStyle name="Note 14_หมายเหตุ FA Q3_2012" xfId="2223"/>
    <cellStyle name="Note 15" xfId="2224"/>
    <cellStyle name="Note 15 2" xfId="2225"/>
    <cellStyle name="Note 15_หมายเหตุ FA Q3_2012" xfId="2226"/>
    <cellStyle name="Note 16" xfId="2227"/>
    <cellStyle name="Note 16 2" xfId="2228"/>
    <cellStyle name="Note 16_หมายเหตุ FA Q3_2012" xfId="2229"/>
    <cellStyle name="Note 17" xfId="2230"/>
    <cellStyle name="Note 17 2" xfId="2231"/>
    <cellStyle name="Note 17_หมายเหตุ FA Q3_2012" xfId="2232"/>
    <cellStyle name="Note 18" xfId="2233"/>
    <cellStyle name="Note 18 2" xfId="2234"/>
    <cellStyle name="Note 18_หมายเหตุ FA Q3_2012" xfId="2235"/>
    <cellStyle name="Note 19" xfId="2236"/>
    <cellStyle name="Note 19 2" xfId="2237"/>
    <cellStyle name="Note 19_หมายเหตุ FA Q3_2012" xfId="2238"/>
    <cellStyle name="Note 2" xfId="2239"/>
    <cellStyle name="Note 2 2" xfId="2240"/>
    <cellStyle name="Note 2 3" xfId="2241"/>
    <cellStyle name="Note 2_หมายเหตุ FA Q3_2012" xfId="2242"/>
    <cellStyle name="Note 20" xfId="2243"/>
    <cellStyle name="Note 20 2" xfId="2244"/>
    <cellStyle name="Note 20_หมายเหตุ FA Q3_2012" xfId="2245"/>
    <cellStyle name="Note 21" xfId="2246"/>
    <cellStyle name="Note 21 2" xfId="2247"/>
    <cellStyle name="Note 21_หมายเหตุ FA Q3_2012" xfId="2248"/>
    <cellStyle name="Note 22" xfId="2249"/>
    <cellStyle name="Note 22 2" xfId="2250"/>
    <cellStyle name="Note 22_หมายเหตุ FA Q3_2012" xfId="2251"/>
    <cellStyle name="Note 23" xfId="2252"/>
    <cellStyle name="Note 23 2" xfId="2253"/>
    <cellStyle name="Note 23_หมายเหตุ FA Q3_2012" xfId="2254"/>
    <cellStyle name="Note 24" xfId="2255"/>
    <cellStyle name="Note 24 2" xfId="2256"/>
    <cellStyle name="Note 24_หมายเหตุ FA Q3_2012" xfId="2257"/>
    <cellStyle name="Note 25" xfId="2258"/>
    <cellStyle name="Note 25 2" xfId="2259"/>
    <cellStyle name="Note 25_หมายเหตุ FA Q3_2012" xfId="2260"/>
    <cellStyle name="Note 26" xfId="2261"/>
    <cellStyle name="Note 26 2" xfId="2262"/>
    <cellStyle name="Note 26_หมายเหตุ FA Q3_2012" xfId="2263"/>
    <cellStyle name="Note 27" xfId="2264"/>
    <cellStyle name="Note 27 2" xfId="2265"/>
    <cellStyle name="Note 27_หมายเหตุ FA Q3_2012" xfId="2266"/>
    <cellStyle name="Note 28" xfId="2267"/>
    <cellStyle name="Note 28 2" xfId="2268"/>
    <cellStyle name="Note 28_หมายเหตุ FA Q3_2012" xfId="2269"/>
    <cellStyle name="Note 29" xfId="2270"/>
    <cellStyle name="Note 29 2" xfId="2271"/>
    <cellStyle name="Note 29_หมายเหตุ FA Q3_2012" xfId="2272"/>
    <cellStyle name="Note 3" xfId="2273"/>
    <cellStyle name="Note 3 2" xfId="2274"/>
    <cellStyle name="Note 3_หมายเหตุ FA Q3_2012" xfId="2275"/>
    <cellStyle name="Note 30" xfId="2276"/>
    <cellStyle name="Note 30 2" xfId="2277"/>
    <cellStyle name="Note 30_หมายเหตุ FA Q3_2012" xfId="2278"/>
    <cellStyle name="Note 31" xfId="2279"/>
    <cellStyle name="Note 31 2" xfId="2280"/>
    <cellStyle name="Note 31_หมายเหตุ FA Q3_2012" xfId="2281"/>
    <cellStyle name="Note 32" xfId="2282"/>
    <cellStyle name="Note 32 2" xfId="2283"/>
    <cellStyle name="Note 32_หมายเหตุ FA Q3_2012" xfId="2284"/>
    <cellStyle name="Note 33" xfId="2285"/>
    <cellStyle name="Note 33 2" xfId="2286"/>
    <cellStyle name="Note 33_หมายเหตุ FA Q3_2012" xfId="2287"/>
    <cellStyle name="Note 34" xfId="2288"/>
    <cellStyle name="Note 34 2" xfId="2289"/>
    <cellStyle name="Note 34_หมายเหตุ FA Q3_2012" xfId="2290"/>
    <cellStyle name="Note 35" xfId="2291"/>
    <cellStyle name="Note 35 2" xfId="2292"/>
    <cellStyle name="Note 35_หมายเหตุ FA Q3_2012" xfId="2293"/>
    <cellStyle name="Note 36" xfId="2294"/>
    <cellStyle name="Note 36 2" xfId="2295"/>
    <cellStyle name="Note 36_หมายเหตุ FA Q3_2012" xfId="2296"/>
    <cellStyle name="Note 37" xfId="2297"/>
    <cellStyle name="Note 37 2" xfId="2298"/>
    <cellStyle name="Note 37_หมายเหตุ FA Q3_2012" xfId="2299"/>
    <cellStyle name="Note 38" xfId="2300"/>
    <cellStyle name="Note 38 2" xfId="2301"/>
    <cellStyle name="Note 38_หมายเหตุ FA Q3_2012" xfId="2302"/>
    <cellStyle name="Note 39" xfId="2303"/>
    <cellStyle name="Note 39 2" xfId="2304"/>
    <cellStyle name="Note 39_หมายเหตุ FA Q3_2012" xfId="2305"/>
    <cellStyle name="Note 4" xfId="2306"/>
    <cellStyle name="Note 4 2" xfId="2307"/>
    <cellStyle name="Note 4_หมายเหตุ FA Q3_2012" xfId="2308"/>
    <cellStyle name="Note 40" xfId="2309"/>
    <cellStyle name="Note 40 2" xfId="2310"/>
    <cellStyle name="Note 41" xfId="2311"/>
    <cellStyle name="Note 42" xfId="2312"/>
    <cellStyle name="Note 43" xfId="2313"/>
    <cellStyle name="Note 44" xfId="2314"/>
    <cellStyle name="Note 45" xfId="2315"/>
    <cellStyle name="Note 46" xfId="2316"/>
    <cellStyle name="Note 47" xfId="2317"/>
    <cellStyle name="Note 48" xfId="2318"/>
    <cellStyle name="Note 49" xfId="2319"/>
    <cellStyle name="Note 5" xfId="2320"/>
    <cellStyle name="Note 5 2" xfId="2321"/>
    <cellStyle name="Note 5_หมายเหตุ FA Q3_2012" xfId="2322"/>
    <cellStyle name="Note 50" xfId="2323"/>
    <cellStyle name="Note 51" xfId="2324"/>
    <cellStyle name="Note 52" xfId="2325"/>
    <cellStyle name="Note 6" xfId="2326"/>
    <cellStyle name="Note 6 2" xfId="2327"/>
    <cellStyle name="Note 6_หมายเหตุ FA Q3_2012" xfId="2328"/>
    <cellStyle name="Note 7" xfId="2329"/>
    <cellStyle name="Note 7 2" xfId="2330"/>
    <cellStyle name="Note 7_หมายเหตุ FA Q3_2012" xfId="2331"/>
    <cellStyle name="Note 8" xfId="2332"/>
    <cellStyle name="Note 8 2" xfId="2333"/>
    <cellStyle name="Note 8_หมายเหตุ FA Q3_2012" xfId="2334"/>
    <cellStyle name="Note 9" xfId="2335"/>
    <cellStyle name="Note 9 2" xfId="2336"/>
    <cellStyle name="Note 9_หมายเหตุ FA Q3_2012" xfId="2337"/>
    <cellStyle name="Output" xfId="2338"/>
    <cellStyle name="Output 10" xfId="2339"/>
    <cellStyle name="Output 11" xfId="2340"/>
    <cellStyle name="Output 12" xfId="2341"/>
    <cellStyle name="Output 13" xfId="2342"/>
    <cellStyle name="Output 14" xfId="2343"/>
    <cellStyle name="Output 15" xfId="2344"/>
    <cellStyle name="Output 16" xfId="2345"/>
    <cellStyle name="Output 17" xfId="2346"/>
    <cellStyle name="Output 18" xfId="2347"/>
    <cellStyle name="Output 19" xfId="2348"/>
    <cellStyle name="Output 2" xfId="2349"/>
    <cellStyle name="Output 20" xfId="2350"/>
    <cellStyle name="Output 21" xfId="2351"/>
    <cellStyle name="Output 22" xfId="2352"/>
    <cellStyle name="Output 23" xfId="2353"/>
    <cellStyle name="Output 24" xfId="2354"/>
    <cellStyle name="Output 25" xfId="2355"/>
    <cellStyle name="Output 26" xfId="2356"/>
    <cellStyle name="Output 27" xfId="2357"/>
    <cellStyle name="Output 28" xfId="2358"/>
    <cellStyle name="Output 29" xfId="2359"/>
    <cellStyle name="Output 3" xfId="2360"/>
    <cellStyle name="Output 30" xfId="2361"/>
    <cellStyle name="Output 31" xfId="2362"/>
    <cellStyle name="Output 32" xfId="2363"/>
    <cellStyle name="Output 33" xfId="2364"/>
    <cellStyle name="Output 34" xfId="2365"/>
    <cellStyle name="Output 35" xfId="2366"/>
    <cellStyle name="Output 36" xfId="2367"/>
    <cellStyle name="Output 37" xfId="2368"/>
    <cellStyle name="Output 38" xfId="2369"/>
    <cellStyle name="Output 39" xfId="2370"/>
    <cellStyle name="Output 4" xfId="2371"/>
    <cellStyle name="Output 40" xfId="2372"/>
    <cellStyle name="Output 5" xfId="2373"/>
    <cellStyle name="Output 6" xfId="2374"/>
    <cellStyle name="Output 7" xfId="2375"/>
    <cellStyle name="Output 8" xfId="2376"/>
    <cellStyle name="Output 9" xfId="2377"/>
    <cellStyle name="Percent" xfId="2378"/>
    <cellStyle name="Percent [2]" xfId="2379"/>
    <cellStyle name="Percent [2] 2" xfId="2380"/>
    <cellStyle name="Percent 10" xfId="2381"/>
    <cellStyle name="Percent 11" xfId="2382"/>
    <cellStyle name="Percent 12" xfId="2383"/>
    <cellStyle name="Percent 13" xfId="2384"/>
    <cellStyle name="Percent 14" xfId="2385"/>
    <cellStyle name="Percent 15" xfId="2386"/>
    <cellStyle name="Percent 16" xfId="2387"/>
    <cellStyle name="Percent 17" xfId="2388"/>
    <cellStyle name="Percent 18" xfId="2389"/>
    <cellStyle name="Percent 19" xfId="2390"/>
    <cellStyle name="Percent 2" xfId="2391"/>
    <cellStyle name="Percent 2 2" xfId="2392"/>
    <cellStyle name="Percent 2 3" xfId="2393"/>
    <cellStyle name="Percent 20" xfId="2394"/>
    <cellStyle name="Percent 3" xfId="2395"/>
    <cellStyle name="Percent 3 2" xfId="2396"/>
    <cellStyle name="Percent 4" xfId="2397"/>
    <cellStyle name="Percent 5" xfId="2398"/>
    <cellStyle name="Percent 6" xfId="2399"/>
    <cellStyle name="Percent 7" xfId="2400"/>
    <cellStyle name="Percent 7 2" xfId="2401"/>
    <cellStyle name="Percent 8" xfId="2402"/>
    <cellStyle name="Percent 9" xfId="2403"/>
    <cellStyle name="Quantity" xfId="2404"/>
    <cellStyle name="Quantity 2" xfId="2405"/>
    <cellStyle name="Quantity_หมายเหตุ FA Q3_2012" xfId="2406"/>
    <cellStyle name="Style 1" xfId="2407"/>
    <cellStyle name="Title" xfId="2408"/>
    <cellStyle name="Title 10" xfId="2409"/>
    <cellStyle name="Title 11" xfId="2410"/>
    <cellStyle name="Title 12" xfId="2411"/>
    <cellStyle name="Title 13" xfId="2412"/>
    <cellStyle name="Title 14" xfId="2413"/>
    <cellStyle name="Title 15" xfId="2414"/>
    <cellStyle name="Title 16" xfId="2415"/>
    <cellStyle name="Title 17" xfId="2416"/>
    <cellStyle name="Title 18" xfId="2417"/>
    <cellStyle name="Title 19" xfId="2418"/>
    <cellStyle name="Title 2" xfId="2419"/>
    <cellStyle name="Title 20" xfId="2420"/>
    <cellStyle name="Title 21" xfId="2421"/>
    <cellStyle name="Title 22" xfId="2422"/>
    <cellStyle name="Title 23" xfId="2423"/>
    <cellStyle name="Title 24" xfId="2424"/>
    <cellStyle name="Title 25" xfId="2425"/>
    <cellStyle name="Title 26" xfId="2426"/>
    <cellStyle name="Title 27" xfId="2427"/>
    <cellStyle name="Title 28" xfId="2428"/>
    <cellStyle name="Title 29" xfId="2429"/>
    <cellStyle name="Title 3" xfId="2430"/>
    <cellStyle name="Title 30" xfId="2431"/>
    <cellStyle name="Title 31" xfId="2432"/>
    <cellStyle name="Title 32" xfId="2433"/>
    <cellStyle name="Title 33" xfId="2434"/>
    <cellStyle name="Title 34" xfId="2435"/>
    <cellStyle name="Title 35" xfId="2436"/>
    <cellStyle name="Title 36" xfId="2437"/>
    <cellStyle name="Title 37" xfId="2438"/>
    <cellStyle name="Title 38" xfId="2439"/>
    <cellStyle name="Title 39" xfId="2440"/>
    <cellStyle name="Title 4" xfId="2441"/>
    <cellStyle name="Title 40" xfId="2442"/>
    <cellStyle name="Title 5" xfId="2443"/>
    <cellStyle name="Title 6" xfId="2444"/>
    <cellStyle name="Title 7" xfId="2445"/>
    <cellStyle name="Title 8" xfId="2446"/>
    <cellStyle name="Title 9" xfId="2447"/>
    <cellStyle name="Total" xfId="2448"/>
    <cellStyle name="Total 10" xfId="2449"/>
    <cellStyle name="Total 11" xfId="2450"/>
    <cellStyle name="Total 12" xfId="2451"/>
    <cellStyle name="Total 13" xfId="2452"/>
    <cellStyle name="Total 14" xfId="2453"/>
    <cellStyle name="Total 15" xfId="2454"/>
    <cellStyle name="Total 16" xfId="2455"/>
    <cellStyle name="Total 17" xfId="2456"/>
    <cellStyle name="Total 18" xfId="2457"/>
    <cellStyle name="Total 19" xfId="2458"/>
    <cellStyle name="Total 2" xfId="2459"/>
    <cellStyle name="Total 20" xfId="2460"/>
    <cellStyle name="Total 21" xfId="2461"/>
    <cellStyle name="Total 22" xfId="2462"/>
    <cellStyle name="Total 23" xfId="2463"/>
    <cellStyle name="Total 24" xfId="2464"/>
    <cellStyle name="Total 25" xfId="2465"/>
    <cellStyle name="Total 26" xfId="2466"/>
    <cellStyle name="Total 27" xfId="2467"/>
    <cellStyle name="Total 28" xfId="2468"/>
    <cellStyle name="Total 29" xfId="2469"/>
    <cellStyle name="Total 3" xfId="2470"/>
    <cellStyle name="Total 30" xfId="2471"/>
    <cellStyle name="Total 31" xfId="2472"/>
    <cellStyle name="Total 32" xfId="2473"/>
    <cellStyle name="Total 33" xfId="2474"/>
    <cellStyle name="Total 34" xfId="2475"/>
    <cellStyle name="Total 35" xfId="2476"/>
    <cellStyle name="Total 36" xfId="2477"/>
    <cellStyle name="Total 37" xfId="2478"/>
    <cellStyle name="Total 38" xfId="2479"/>
    <cellStyle name="Total 39" xfId="2480"/>
    <cellStyle name="Total 4" xfId="2481"/>
    <cellStyle name="Total 40" xfId="2482"/>
    <cellStyle name="Total 5" xfId="2483"/>
    <cellStyle name="Total 6" xfId="2484"/>
    <cellStyle name="Total 7" xfId="2485"/>
    <cellStyle name="Total 8" xfId="2486"/>
    <cellStyle name="Total 9" xfId="2487"/>
    <cellStyle name="Warning Text" xfId="2488"/>
    <cellStyle name="Warning Text 10" xfId="2489"/>
    <cellStyle name="Warning Text 11" xfId="2490"/>
    <cellStyle name="Warning Text 12" xfId="2491"/>
    <cellStyle name="Warning Text 13" xfId="2492"/>
    <cellStyle name="Warning Text 14" xfId="2493"/>
    <cellStyle name="Warning Text 15" xfId="2494"/>
    <cellStyle name="Warning Text 16" xfId="2495"/>
    <cellStyle name="Warning Text 17" xfId="2496"/>
    <cellStyle name="Warning Text 18" xfId="2497"/>
    <cellStyle name="Warning Text 19" xfId="2498"/>
    <cellStyle name="Warning Text 2" xfId="2499"/>
    <cellStyle name="Warning Text 20" xfId="2500"/>
    <cellStyle name="Warning Text 21" xfId="2501"/>
    <cellStyle name="Warning Text 22" xfId="2502"/>
    <cellStyle name="Warning Text 23" xfId="2503"/>
    <cellStyle name="Warning Text 24" xfId="2504"/>
    <cellStyle name="Warning Text 25" xfId="2505"/>
    <cellStyle name="Warning Text 26" xfId="2506"/>
    <cellStyle name="Warning Text 27" xfId="2507"/>
    <cellStyle name="Warning Text 28" xfId="2508"/>
    <cellStyle name="Warning Text 29" xfId="2509"/>
    <cellStyle name="Warning Text 3" xfId="2510"/>
    <cellStyle name="Warning Text 30" xfId="2511"/>
    <cellStyle name="Warning Text 31" xfId="2512"/>
    <cellStyle name="Warning Text 32" xfId="2513"/>
    <cellStyle name="Warning Text 33" xfId="2514"/>
    <cellStyle name="Warning Text 34" xfId="2515"/>
    <cellStyle name="Warning Text 35" xfId="2516"/>
    <cellStyle name="Warning Text 36" xfId="2517"/>
    <cellStyle name="Warning Text 37" xfId="2518"/>
    <cellStyle name="Warning Text 38" xfId="2519"/>
    <cellStyle name="Warning Text 39" xfId="2520"/>
    <cellStyle name="Warning Text 4" xfId="2521"/>
    <cellStyle name="Warning Text 40" xfId="2522"/>
    <cellStyle name="Warning Text 5" xfId="2523"/>
    <cellStyle name="Warning Text 6" xfId="2524"/>
    <cellStyle name="Warning Text 7" xfId="2525"/>
    <cellStyle name="Warning Text 8" xfId="2526"/>
    <cellStyle name="Warning Text 9" xfId="2527"/>
    <cellStyle name="การคำนวณ 2" xfId="2528"/>
    <cellStyle name="ข้อความเตือน 2" xfId="2529"/>
    <cellStyle name="ข้อความอธิบาย 2" xfId="2530"/>
    <cellStyle name="เครื่องหมายจุลภาค 10" xfId="2531"/>
    <cellStyle name="เครื่องหมายจุลภาค 11" xfId="2532"/>
    <cellStyle name="เครื่องหมายจุลภาค 12" xfId="2533"/>
    <cellStyle name="เครื่องหมายจุลภาค 13" xfId="2534"/>
    <cellStyle name="เครื่องหมายจุลภาค 14" xfId="2535"/>
    <cellStyle name="เครื่องหมายจุลภาค 15" xfId="2536"/>
    <cellStyle name="เครื่องหมายจุลภาค 16" xfId="2537"/>
    <cellStyle name="เครื่องหมายจุลภาค 17" xfId="2538"/>
    <cellStyle name="เครื่องหมายจุลภาค 2" xfId="2539"/>
    <cellStyle name="เครื่องหมายจุลภาค 2 2" xfId="2540"/>
    <cellStyle name="เครื่องหมายจุลภาค 2 3" xfId="2541"/>
    <cellStyle name="เครื่องหมายจุลภาค 2_หมายเหตุ FA Q3_2012" xfId="2542"/>
    <cellStyle name="เครื่องหมายจุลภาค 3" xfId="2543"/>
    <cellStyle name="เครื่องหมายจุลภาค 3 2" xfId="2544"/>
    <cellStyle name="เครื่องหมายจุลภาค 4" xfId="2545"/>
    <cellStyle name="เครื่องหมายจุลภาค 4 2" xfId="2546"/>
    <cellStyle name="เครื่องหมายจุลภาค 4 3" xfId="2547"/>
    <cellStyle name="เครื่องหมายจุลภาค 4 4" xfId="2548"/>
    <cellStyle name="เครื่องหมายจุลภาค 4 5" xfId="2549"/>
    <cellStyle name="เครื่องหมายจุลภาค 4 6" xfId="2550"/>
    <cellStyle name="เครื่องหมายจุลภาค 4 7" xfId="2551"/>
    <cellStyle name="เครื่องหมายจุลภาค 5" xfId="2552"/>
    <cellStyle name="เครื่องหมายจุลภาค 5 2" xfId="2553"/>
    <cellStyle name="เครื่องหมายจุลภาค 5 2 2" xfId="2554"/>
    <cellStyle name="เครื่องหมายจุลภาค 6" xfId="2555"/>
    <cellStyle name="เครื่องหมายจุลภาค 7" xfId="2556"/>
    <cellStyle name="เครื่องหมายจุลภาค 8" xfId="2557"/>
    <cellStyle name="เครื่องหมายจุลภาค 9" xfId="2558"/>
    <cellStyle name="เครื่องหมายจุลภาค_Note new STD" xfId="2559"/>
    <cellStyle name="เครื่องหมายจุลภาค_Note new STD 2" xfId="2560"/>
    <cellStyle name="เครื่องหมายจุลภาค_Note new STD 3" xfId="2561"/>
    <cellStyle name="ชื่อเรื่อง 2" xfId="2562"/>
    <cellStyle name="เซลล์ตรวจสอบ 2" xfId="2563"/>
    <cellStyle name="เซลล์ที่มีการเชื่อมโยง 2" xfId="2564"/>
    <cellStyle name="ดี 2" xfId="2565"/>
    <cellStyle name="น้บะภฒ_95" xfId="2566"/>
    <cellStyle name="ปกติ 10" xfId="2567"/>
    <cellStyle name="ปกติ 11" xfId="2568"/>
    <cellStyle name="ปกติ 12" xfId="2569"/>
    <cellStyle name="ปกติ 13" xfId="2570"/>
    <cellStyle name="ปกติ 14" xfId="2571"/>
    <cellStyle name="ปกติ 15" xfId="2572"/>
    <cellStyle name="ปกติ 16" xfId="2573"/>
    <cellStyle name="ปกติ 17" xfId="2574"/>
    <cellStyle name="ปกติ 2" xfId="2575"/>
    <cellStyle name="ปกติ 2 2" xfId="2576"/>
    <cellStyle name="ปกติ 2 3" xfId="2577"/>
    <cellStyle name="ปกติ 2 3 2" xfId="2578"/>
    <cellStyle name="ปกติ 3" xfId="2579"/>
    <cellStyle name="ปกติ 4" xfId="2580"/>
    <cellStyle name="ปกติ 4 2" xfId="2581"/>
    <cellStyle name="ปกติ 5" xfId="2582"/>
    <cellStyle name="ปกติ 6" xfId="2583"/>
    <cellStyle name="ปกติ 7" xfId="2584"/>
    <cellStyle name="ปกติ 8" xfId="2585"/>
    <cellStyle name="ปกติ 9" xfId="2586"/>
    <cellStyle name="ปกติ_Sheet1" xfId="2587"/>
    <cellStyle name="ปกติ_Sheet1 2" xfId="2588"/>
    <cellStyle name="ปกติ_Sheet1 3 2" xfId="2589"/>
    <cellStyle name="ปกติ_Sheet1 4" xfId="2590"/>
    <cellStyle name="ปกติ_SPC-Dec'50-T3_Note new STD" xfId="2591"/>
    <cellStyle name="ป้อนค่า 2" xfId="2592"/>
    <cellStyle name="ปานกลาง 2" xfId="2593"/>
    <cellStyle name="เปอร์เซ็นต์ 2" xfId="2594"/>
    <cellStyle name="เปอร์เซ็นต์ 3" xfId="2595"/>
    <cellStyle name="ผลรวม 2" xfId="2596"/>
    <cellStyle name="แย่ 2" xfId="2597"/>
    <cellStyle name="ฤธถ [0]_95" xfId="2598"/>
    <cellStyle name="ฤธถ_95" xfId="2599"/>
    <cellStyle name="ล๋ศญ [0]_95" xfId="2600"/>
    <cellStyle name="ล๋ศญ_95" xfId="2601"/>
    <cellStyle name="วฅมุ_4ฟ๙ฝวภ " xfId="2602"/>
    <cellStyle name="ส่วนที่ถูกเน้น1 2" xfId="2603"/>
    <cellStyle name="ส่วนที่ถูกเน้น2 2" xfId="2604"/>
    <cellStyle name="ส่วนที่ถูกเน้น3 2" xfId="2605"/>
    <cellStyle name="ส่วนที่ถูกเน้น4 2" xfId="2606"/>
    <cellStyle name="ส่วนที่ถูกเน้น5 2" xfId="2607"/>
    <cellStyle name="ส่วนที่ถูกเน้น6 2" xfId="2608"/>
    <cellStyle name="แสดงผล 2" xfId="2609"/>
    <cellStyle name="หมายเหตุ 2" xfId="2610"/>
    <cellStyle name="หมายเหตุ 2 2" xfId="2611"/>
    <cellStyle name="หัวเรื่อง 1 2" xfId="2612"/>
    <cellStyle name="หัวเรื่อง 2 2" xfId="2613"/>
    <cellStyle name="หัวเรื่อง 3 2" xfId="2614"/>
    <cellStyle name="หัวเรื่อง 4 2" xfId="26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1219200</xdr:colOff>
      <xdr:row>66</xdr:row>
      <xdr:rowOff>0</xdr:rowOff>
    </xdr:from>
    <xdr:ext cx="276225" cy="47625"/>
    <xdr:sp fLocksText="0">
      <xdr:nvSpPr>
        <xdr:cNvPr id="1" name="Text Box 1"/>
        <xdr:cNvSpPr txBox="1">
          <a:spLocks noChangeArrowheads="1"/>
        </xdr:cNvSpPr>
      </xdr:nvSpPr>
      <xdr:spPr>
        <a:xfrm>
          <a:off x="1981200" y="208692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66</xdr:row>
      <xdr:rowOff>0</xdr:rowOff>
    </xdr:from>
    <xdr:ext cx="276225" cy="47625"/>
    <xdr:sp fLocksText="0">
      <xdr:nvSpPr>
        <xdr:cNvPr id="2" name="Text Box 4"/>
        <xdr:cNvSpPr txBox="1">
          <a:spLocks noChangeArrowheads="1"/>
        </xdr:cNvSpPr>
      </xdr:nvSpPr>
      <xdr:spPr>
        <a:xfrm>
          <a:off x="1981200" y="208692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66</xdr:row>
      <xdr:rowOff>0</xdr:rowOff>
    </xdr:from>
    <xdr:ext cx="276225" cy="47625"/>
    <xdr:sp fLocksText="0">
      <xdr:nvSpPr>
        <xdr:cNvPr id="3" name="Text Box 1"/>
        <xdr:cNvSpPr txBox="1">
          <a:spLocks noChangeArrowheads="1"/>
        </xdr:cNvSpPr>
      </xdr:nvSpPr>
      <xdr:spPr>
        <a:xfrm>
          <a:off x="1981200" y="208692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66</xdr:row>
      <xdr:rowOff>0</xdr:rowOff>
    </xdr:from>
    <xdr:ext cx="276225" cy="47625"/>
    <xdr:sp fLocksText="0">
      <xdr:nvSpPr>
        <xdr:cNvPr id="4" name="Text Box 4"/>
        <xdr:cNvSpPr txBox="1">
          <a:spLocks noChangeArrowheads="1"/>
        </xdr:cNvSpPr>
      </xdr:nvSpPr>
      <xdr:spPr>
        <a:xfrm>
          <a:off x="1981200" y="208692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65</xdr:row>
      <xdr:rowOff>0</xdr:rowOff>
    </xdr:from>
    <xdr:ext cx="276225" cy="47625"/>
    <xdr:sp fLocksText="0">
      <xdr:nvSpPr>
        <xdr:cNvPr id="5" name="Text Box 1"/>
        <xdr:cNvSpPr txBox="1">
          <a:spLocks noChangeArrowheads="1"/>
        </xdr:cNvSpPr>
      </xdr:nvSpPr>
      <xdr:spPr>
        <a:xfrm>
          <a:off x="1981200" y="2054542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65</xdr:row>
      <xdr:rowOff>0</xdr:rowOff>
    </xdr:from>
    <xdr:ext cx="276225" cy="47625"/>
    <xdr:sp fLocksText="0">
      <xdr:nvSpPr>
        <xdr:cNvPr id="6" name="Text Box 4"/>
        <xdr:cNvSpPr txBox="1">
          <a:spLocks noChangeArrowheads="1"/>
        </xdr:cNvSpPr>
      </xdr:nvSpPr>
      <xdr:spPr>
        <a:xfrm>
          <a:off x="1981200" y="2054542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65</xdr:row>
      <xdr:rowOff>0</xdr:rowOff>
    </xdr:from>
    <xdr:ext cx="276225" cy="47625"/>
    <xdr:sp fLocksText="0">
      <xdr:nvSpPr>
        <xdr:cNvPr id="7" name="Text Box 1"/>
        <xdr:cNvSpPr txBox="1">
          <a:spLocks noChangeArrowheads="1"/>
        </xdr:cNvSpPr>
      </xdr:nvSpPr>
      <xdr:spPr>
        <a:xfrm>
          <a:off x="1981200" y="2054542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65</xdr:row>
      <xdr:rowOff>0</xdr:rowOff>
    </xdr:from>
    <xdr:ext cx="276225" cy="47625"/>
    <xdr:sp fLocksText="0">
      <xdr:nvSpPr>
        <xdr:cNvPr id="8" name="Text Box 4"/>
        <xdr:cNvSpPr txBox="1">
          <a:spLocks noChangeArrowheads="1"/>
        </xdr:cNvSpPr>
      </xdr:nvSpPr>
      <xdr:spPr>
        <a:xfrm>
          <a:off x="1981200" y="2054542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762000</xdr:colOff>
      <xdr:row>141</xdr:row>
      <xdr:rowOff>66675</xdr:rowOff>
    </xdr:from>
    <xdr:ext cx="76200" cy="47625"/>
    <xdr:sp fLocksText="0">
      <xdr:nvSpPr>
        <xdr:cNvPr id="9" name="Text Box 4"/>
        <xdr:cNvSpPr txBox="1">
          <a:spLocks noChangeArrowheads="1"/>
        </xdr:cNvSpPr>
      </xdr:nvSpPr>
      <xdr:spPr>
        <a:xfrm>
          <a:off x="762000" y="45224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48</xdr:row>
      <xdr:rowOff>0</xdr:rowOff>
    </xdr:from>
    <xdr:ext cx="276225" cy="47625"/>
    <xdr:sp fLocksText="0">
      <xdr:nvSpPr>
        <xdr:cNvPr id="10" name="Text Box 1"/>
        <xdr:cNvSpPr txBox="1">
          <a:spLocks noChangeArrowheads="1"/>
        </xdr:cNvSpPr>
      </xdr:nvSpPr>
      <xdr:spPr>
        <a:xfrm>
          <a:off x="1981200" y="150399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48</xdr:row>
      <xdr:rowOff>0</xdr:rowOff>
    </xdr:from>
    <xdr:ext cx="276225" cy="47625"/>
    <xdr:sp fLocksText="0">
      <xdr:nvSpPr>
        <xdr:cNvPr id="11" name="Text Box 4"/>
        <xdr:cNvSpPr txBox="1">
          <a:spLocks noChangeArrowheads="1"/>
        </xdr:cNvSpPr>
      </xdr:nvSpPr>
      <xdr:spPr>
        <a:xfrm>
          <a:off x="1981200" y="150399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48</xdr:row>
      <xdr:rowOff>0</xdr:rowOff>
    </xdr:from>
    <xdr:ext cx="276225" cy="47625"/>
    <xdr:sp fLocksText="0">
      <xdr:nvSpPr>
        <xdr:cNvPr id="12" name="Text Box 1"/>
        <xdr:cNvSpPr txBox="1">
          <a:spLocks noChangeArrowheads="1"/>
        </xdr:cNvSpPr>
      </xdr:nvSpPr>
      <xdr:spPr>
        <a:xfrm>
          <a:off x="1981200" y="150399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48</xdr:row>
      <xdr:rowOff>0</xdr:rowOff>
    </xdr:from>
    <xdr:ext cx="276225" cy="47625"/>
    <xdr:sp fLocksText="0">
      <xdr:nvSpPr>
        <xdr:cNvPr id="13" name="Text Box 4"/>
        <xdr:cNvSpPr txBox="1">
          <a:spLocks noChangeArrowheads="1"/>
        </xdr:cNvSpPr>
      </xdr:nvSpPr>
      <xdr:spPr>
        <a:xfrm>
          <a:off x="1981200" y="150399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48</xdr:row>
      <xdr:rowOff>0</xdr:rowOff>
    </xdr:from>
    <xdr:ext cx="276225" cy="47625"/>
    <xdr:sp fLocksText="0">
      <xdr:nvSpPr>
        <xdr:cNvPr id="14" name="Text Box 1"/>
        <xdr:cNvSpPr txBox="1">
          <a:spLocks noChangeArrowheads="1"/>
        </xdr:cNvSpPr>
      </xdr:nvSpPr>
      <xdr:spPr>
        <a:xfrm>
          <a:off x="1981200" y="150399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48</xdr:row>
      <xdr:rowOff>0</xdr:rowOff>
    </xdr:from>
    <xdr:ext cx="276225" cy="47625"/>
    <xdr:sp fLocksText="0">
      <xdr:nvSpPr>
        <xdr:cNvPr id="15" name="Text Box 4"/>
        <xdr:cNvSpPr txBox="1">
          <a:spLocks noChangeArrowheads="1"/>
        </xdr:cNvSpPr>
      </xdr:nvSpPr>
      <xdr:spPr>
        <a:xfrm>
          <a:off x="1981200" y="150399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48</xdr:row>
      <xdr:rowOff>0</xdr:rowOff>
    </xdr:from>
    <xdr:ext cx="276225" cy="47625"/>
    <xdr:sp fLocksText="0">
      <xdr:nvSpPr>
        <xdr:cNvPr id="16" name="Text Box 1"/>
        <xdr:cNvSpPr txBox="1">
          <a:spLocks noChangeArrowheads="1"/>
        </xdr:cNvSpPr>
      </xdr:nvSpPr>
      <xdr:spPr>
        <a:xfrm>
          <a:off x="1981200" y="150399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48</xdr:row>
      <xdr:rowOff>0</xdr:rowOff>
    </xdr:from>
    <xdr:ext cx="276225" cy="47625"/>
    <xdr:sp fLocksText="0">
      <xdr:nvSpPr>
        <xdr:cNvPr id="17" name="Text Box 4"/>
        <xdr:cNvSpPr txBox="1">
          <a:spLocks noChangeArrowheads="1"/>
        </xdr:cNvSpPr>
      </xdr:nvSpPr>
      <xdr:spPr>
        <a:xfrm>
          <a:off x="1981200" y="150399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48</xdr:row>
      <xdr:rowOff>0</xdr:rowOff>
    </xdr:from>
    <xdr:ext cx="276225" cy="47625"/>
    <xdr:sp fLocksText="0">
      <xdr:nvSpPr>
        <xdr:cNvPr id="18" name="Text Box 1"/>
        <xdr:cNvSpPr txBox="1">
          <a:spLocks noChangeArrowheads="1"/>
        </xdr:cNvSpPr>
      </xdr:nvSpPr>
      <xdr:spPr>
        <a:xfrm>
          <a:off x="1981200" y="150399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48</xdr:row>
      <xdr:rowOff>0</xdr:rowOff>
    </xdr:from>
    <xdr:ext cx="276225" cy="47625"/>
    <xdr:sp fLocksText="0">
      <xdr:nvSpPr>
        <xdr:cNvPr id="19" name="Text Box 4"/>
        <xdr:cNvSpPr txBox="1">
          <a:spLocks noChangeArrowheads="1"/>
        </xdr:cNvSpPr>
      </xdr:nvSpPr>
      <xdr:spPr>
        <a:xfrm>
          <a:off x="1981200" y="150399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48</xdr:row>
      <xdr:rowOff>0</xdr:rowOff>
    </xdr:from>
    <xdr:ext cx="276225" cy="47625"/>
    <xdr:sp fLocksText="0">
      <xdr:nvSpPr>
        <xdr:cNvPr id="20" name="Text Box 1"/>
        <xdr:cNvSpPr txBox="1">
          <a:spLocks noChangeArrowheads="1"/>
        </xdr:cNvSpPr>
      </xdr:nvSpPr>
      <xdr:spPr>
        <a:xfrm>
          <a:off x="1981200" y="150399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48</xdr:row>
      <xdr:rowOff>0</xdr:rowOff>
    </xdr:from>
    <xdr:ext cx="276225" cy="47625"/>
    <xdr:sp fLocksText="0">
      <xdr:nvSpPr>
        <xdr:cNvPr id="21" name="Text Box 4"/>
        <xdr:cNvSpPr txBox="1">
          <a:spLocks noChangeArrowheads="1"/>
        </xdr:cNvSpPr>
      </xdr:nvSpPr>
      <xdr:spPr>
        <a:xfrm>
          <a:off x="1981200" y="150399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48</xdr:row>
      <xdr:rowOff>0</xdr:rowOff>
    </xdr:from>
    <xdr:ext cx="276225" cy="47625"/>
    <xdr:sp fLocksText="0">
      <xdr:nvSpPr>
        <xdr:cNvPr id="22" name="Text Box 1"/>
        <xdr:cNvSpPr txBox="1">
          <a:spLocks noChangeArrowheads="1"/>
        </xdr:cNvSpPr>
      </xdr:nvSpPr>
      <xdr:spPr>
        <a:xfrm>
          <a:off x="1981200" y="150399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48</xdr:row>
      <xdr:rowOff>0</xdr:rowOff>
    </xdr:from>
    <xdr:ext cx="276225" cy="47625"/>
    <xdr:sp fLocksText="0">
      <xdr:nvSpPr>
        <xdr:cNvPr id="23" name="Text Box 4"/>
        <xdr:cNvSpPr txBox="1">
          <a:spLocks noChangeArrowheads="1"/>
        </xdr:cNvSpPr>
      </xdr:nvSpPr>
      <xdr:spPr>
        <a:xfrm>
          <a:off x="1981200" y="150399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48</xdr:row>
      <xdr:rowOff>0</xdr:rowOff>
    </xdr:from>
    <xdr:ext cx="276225" cy="47625"/>
    <xdr:sp fLocksText="0">
      <xdr:nvSpPr>
        <xdr:cNvPr id="24" name="Text Box 1"/>
        <xdr:cNvSpPr txBox="1">
          <a:spLocks noChangeArrowheads="1"/>
        </xdr:cNvSpPr>
      </xdr:nvSpPr>
      <xdr:spPr>
        <a:xfrm>
          <a:off x="1981200" y="150399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48</xdr:row>
      <xdr:rowOff>0</xdr:rowOff>
    </xdr:from>
    <xdr:ext cx="276225" cy="47625"/>
    <xdr:sp fLocksText="0">
      <xdr:nvSpPr>
        <xdr:cNvPr id="25" name="Text Box 4"/>
        <xdr:cNvSpPr txBox="1">
          <a:spLocks noChangeArrowheads="1"/>
        </xdr:cNvSpPr>
      </xdr:nvSpPr>
      <xdr:spPr>
        <a:xfrm>
          <a:off x="1981200" y="150399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48</xdr:row>
      <xdr:rowOff>0</xdr:rowOff>
    </xdr:from>
    <xdr:ext cx="276225" cy="47625"/>
    <xdr:sp fLocksText="0">
      <xdr:nvSpPr>
        <xdr:cNvPr id="26" name="Text Box 1"/>
        <xdr:cNvSpPr txBox="1">
          <a:spLocks noChangeArrowheads="1"/>
        </xdr:cNvSpPr>
      </xdr:nvSpPr>
      <xdr:spPr>
        <a:xfrm>
          <a:off x="1981200" y="150399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48</xdr:row>
      <xdr:rowOff>0</xdr:rowOff>
    </xdr:from>
    <xdr:ext cx="276225" cy="47625"/>
    <xdr:sp fLocksText="0">
      <xdr:nvSpPr>
        <xdr:cNvPr id="27" name="Text Box 4"/>
        <xdr:cNvSpPr txBox="1">
          <a:spLocks noChangeArrowheads="1"/>
        </xdr:cNvSpPr>
      </xdr:nvSpPr>
      <xdr:spPr>
        <a:xfrm>
          <a:off x="1981200" y="150399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48</xdr:row>
      <xdr:rowOff>0</xdr:rowOff>
    </xdr:from>
    <xdr:ext cx="276225" cy="47625"/>
    <xdr:sp fLocksText="0">
      <xdr:nvSpPr>
        <xdr:cNvPr id="28" name="Text Box 1"/>
        <xdr:cNvSpPr txBox="1">
          <a:spLocks noChangeArrowheads="1"/>
        </xdr:cNvSpPr>
      </xdr:nvSpPr>
      <xdr:spPr>
        <a:xfrm>
          <a:off x="1981200" y="150399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48</xdr:row>
      <xdr:rowOff>0</xdr:rowOff>
    </xdr:from>
    <xdr:ext cx="276225" cy="47625"/>
    <xdr:sp fLocksText="0">
      <xdr:nvSpPr>
        <xdr:cNvPr id="29" name="Text Box 4"/>
        <xdr:cNvSpPr txBox="1">
          <a:spLocks noChangeArrowheads="1"/>
        </xdr:cNvSpPr>
      </xdr:nvSpPr>
      <xdr:spPr>
        <a:xfrm>
          <a:off x="1981200" y="150399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48</xdr:row>
      <xdr:rowOff>0</xdr:rowOff>
    </xdr:from>
    <xdr:ext cx="276225" cy="47625"/>
    <xdr:sp fLocksText="0">
      <xdr:nvSpPr>
        <xdr:cNvPr id="30" name="Text Box 1"/>
        <xdr:cNvSpPr txBox="1">
          <a:spLocks noChangeArrowheads="1"/>
        </xdr:cNvSpPr>
      </xdr:nvSpPr>
      <xdr:spPr>
        <a:xfrm>
          <a:off x="1981200" y="150399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48</xdr:row>
      <xdr:rowOff>0</xdr:rowOff>
    </xdr:from>
    <xdr:ext cx="276225" cy="47625"/>
    <xdr:sp fLocksText="0">
      <xdr:nvSpPr>
        <xdr:cNvPr id="31" name="Text Box 4"/>
        <xdr:cNvSpPr txBox="1">
          <a:spLocks noChangeArrowheads="1"/>
        </xdr:cNvSpPr>
      </xdr:nvSpPr>
      <xdr:spPr>
        <a:xfrm>
          <a:off x="1981200" y="150399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48</xdr:row>
      <xdr:rowOff>0</xdr:rowOff>
    </xdr:from>
    <xdr:ext cx="276225" cy="47625"/>
    <xdr:sp fLocksText="0">
      <xdr:nvSpPr>
        <xdr:cNvPr id="32" name="Text Box 1"/>
        <xdr:cNvSpPr txBox="1">
          <a:spLocks noChangeArrowheads="1"/>
        </xdr:cNvSpPr>
      </xdr:nvSpPr>
      <xdr:spPr>
        <a:xfrm>
          <a:off x="1981200" y="150399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48</xdr:row>
      <xdr:rowOff>0</xdr:rowOff>
    </xdr:from>
    <xdr:ext cx="276225" cy="47625"/>
    <xdr:sp fLocksText="0">
      <xdr:nvSpPr>
        <xdr:cNvPr id="33" name="Text Box 4"/>
        <xdr:cNvSpPr txBox="1">
          <a:spLocks noChangeArrowheads="1"/>
        </xdr:cNvSpPr>
      </xdr:nvSpPr>
      <xdr:spPr>
        <a:xfrm>
          <a:off x="1981200" y="150399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100</xdr:row>
      <xdr:rowOff>0</xdr:rowOff>
    </xdr:from>
    <xdr:ext cx="276225" cy="47625"/>
    <xdr:sp fLocksText="0">
      <xdr:nvSpPr>
        <xdr:cNvPr id="34" name="Text Box 1"/>
        <xdr:cNvSpPr txBox="1">
          <a:spLocks noChangeArrowheads="1"/>
        </xdr:cNvSpPr>
      </xdr:nvSpPr>
      <xdr:spPr>
        <a:xfrm>
          <a:off x="1981200" y="318801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100</xdr:row>
      <xdr:rowOff>0</xdr:rowOff>
    </xdr:from>
    <xdr:ext cx="276225" cy="47625"/>
    <xdr:sp fLocksText="0">
      <xdr:nvSpPr>
        <xdr:cNvPr id="35" name="Text Box 4"/>
        <xdr:cNvSpPr txBox="1">
          <a:spLocks noChangeArrowheads="1"/>
        </xdr:cNvSpPr>
      </xdr:nvSpPr>
      <xdr:spPr>
        <a:xfrm>
          <a:off x="1981200" y="318801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100</xdr:row>
      <xdr:rowOff>0</xdr:rowOff>
    </xdr:from>
    <xdr:ext cx="276225" cy="47625"/>
    <xdr:sp fLocksText="0">
      <xdr:nvSpPr>
        <xdr:cNvPr id="36" name="Text Box 1"/>
        <xdr:cNvSpPr txBox="1">
          <a:spLocks noChangeArrowheads="1"/>
        </xdr:cNvSpPr>
      </xdr:nvSpPr>
      <xdr:spPr>
        <a:xfrm>
          <a:off x="1981200" y="318801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100</xdr:row>
      <xdr:rowOff>0</xdr:rowOff>
    </xdr:from>
    <xdr:ext cx="276225" cy="47625"/>
    <xdr:sp fLocksText="0">
      <xdr:nvSpPr>
        <xdr:cNvPr id="37" name="Text Box 4"/>
        <xdr:cNvSpPr txBox="1">
          <a:spLocks noChangeArrowheads="1"/>
        </xdr:cNvSpPr>
      </xdr:nvSpPr>
      <xdr:spPr>
        <a:xfrm>
          <a:off x="1981200" y="318801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135</xdr:row>
      <xdr:rowOff>0</xdr:rowOff>
    </xdr:from>
    <xdr:ext cx="276225" cy="47625"/>
    <xdr:sp fLocksText="0">
      <xdr:nvSpPr>
        <xdr:cNvPr id="38" name="Text Box 1"/>
        <xdr:cNvSpPr txBox="1">
          <a:spLocks noChangeArrowheads="1"/>
        </xdr:cNvSpPr>
      </xdr:nvSpPr>
      <xdr:spPr>
        <a:xfrm>
          <a:off x="1981200" y="4321492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135</xdr:row>
      <xdr:rowOff>0</xdr:rowOff>
    </xdr:from>
    <xdr:ext cx="276225" cy="47625"/>
    <xdr:sp fLocksText="0">
      <xdr:nvSpPr>
        <xdr:cNvPr id="39" name="Text Box 4"/>
        <xdr:cNvSpPr txBox="1">
          <a:spLocks noChangeArrowheads="1"/>
        </xdr:cNvSpPr>
      </xdr:nvSpPr>
      <xdr:spPr>
        <a:xfrm>
          <a:off x="1981200" y="4321492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135</xdr:row>
      <xdr:rowOff>0</xdr:rowOff>
    </xdr:from>
    <xdr:ext cx="276225" cy="47625"/>
    <xdr:sp fLocksText="0">
      <xdr:nvSpPr>
        <xdr:cNvPr id="40" name="Text Box 1"/>
        <xdr:cNvSpPr txBox="1">
          <a:spLocks noChangeArrowheads="1"/>
        </xdr:cNvSpPr>
      </xdr:nvSpPr>
      <xdr:spPr>
        <a:xfrm>
          <a:off x="1981200" y="4321492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135</xdr:row>
      <xdr:rowOff>0</xdr:rowOff>
    </xdr:from>
    <xdr:ext cx="276225" cy="47625"/>
    <xdr:sp fLocksText="0">
      <xdr:nvSpPr>
        <xdr:cNvPr id="41" name="Text Box 4"/>
        <xdr:cNvSpPr txBox="1">
          <a:spLocks noChangeArrowheads="1"/>
        </xdr:cNvSpPr>
      </xdr:nvSpPr>
      <xdr:spPr>
        <a:xfrm>
          <a:off x="1981200" y="4321492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762000</xdr:colOff>
      <xdr:row>156</xdr:row>
      <xdr:rowOff>0</xdr:rowOff>
    </xdr:from>
    <xdr:ext cx="76200" cy="47625"/>
    <xdr:sp fLocksText="0">
      <xdr:nvSpPr>
        <xdr:cNvPr id="42" name="Text Box 4"/>
        <xdr:cNvSpPr txBox="1">
          <a:spLocks noChangeArrowheads="1"/>
        </xdr:cNvSpPr>
      </xdr:nvSpPr>
      <xdr:spPr>
        <a:xfrm>
          <a:off x="762000" y="50015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762000</xdr:colOff>
      <xdr:row>162</xdr:row>
      <xdr:rowOff>0</xdr:rowOff>
    </xdr:from>
    <xdr:ext cx="76200" cy="47625"/>
    <xdr:sp fLocksText="0">
      <xdr:nvSpPr>
        <xdr:cNvPr id="43" name="Text Box 4"/>
        <xdr:cNvSpPr txBox="1">
          <a:spLocks noChangeArrowheads="1"/>
        </xdr:cNvSpPr>
      </xdr:nvSpPr>
      <xdr:spPr>
        <a:xfrm>
          <a:off x="762000" y="51958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171</xdr:row>
      <xdr:rowOff>0</xdr:rowOff>
    </xdr:from>
    <xdr:ext cx="276225" cy="47625"/>
    <xdr:sp fLocksText="0">
      <xdr:nvSpPr>
        <xdr:cNvPr id="44" name="Text Box 1"/>
        <xdr:cNvSpPr txBox="1">
          <a:spLocks noChangeArrowheads="1"/>
        </xdr:cNvSpPr>
      </xdr:nvSpPr>
      <xdr:spPr>
        <a:xfrm>
          <a:off x="1981200" y="5487352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171</xdr:row>
      <xdr:rowOff>0</xdr:rowOff>
    </xdr:from>
    <xdr:ext cx="276225" cy="47625"/>
    <xdr:sp fLocksText="0">
      <xdr:nvSpPr>
        <xdr:cNvPr id="45" name="Text Box 4"/>
        <xdr:cNvSpPr txBox="1">
          <a:spLocks noChangeArrowheads="1"/>
        </xdr:cNvSpPr>
      </xdr:nvSpPr>
      <xdr:spPr>
        <a:xfrm>
          <a:off x="1981200" y="5487352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171</xdr:row>
      <xdr:rowOff>0</xdr:rowOff>
    </xdr:from>
    <xdr:ext cx="276225" cy="47625"/>
    <xdr:sp fLocksText="0">
      <xdr:nvSpPr>
        <xdr:cNvPr id="46" name="Text Box 1"/>
        <xdr:cNvSpPr txBox="1">
          <a:spLocks noChangeArrowheads="1"/>
        </xdr:cNvSpPr>
      </xdr:nvSpPr>
      <xdr:spPr>
        <a:xfrm>
          <a:off x="1981200" y="5487352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171</xdr:row>
      <xdr:rowOff>0</xdr:rowOff>
    </xdr:from>
    <xdr:ext cx="276225" cy="47625"/>
    <xdr:sp fLocksText="0">
      <xdr:nvSpPr>
        <xdr:cNvPr id="47" name="Text Box 4"/>
        <xdr:cNvSpPr txBox="1">
          <a:spLocks noChangeArrowheads="1"/>
        </xdr:cNvSpPr>
      </xdr:nvSpPr>
      <xdr:spPr>
        <a:xfrm>
          <a:off x="1981200" y="5487352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762000</xdr:colOff>
      <xdr:row>171</xdr:row>
      <xdr:rowOff>0</xdr:rowOff>
    </xdr:from>
    <xdr:ext cx="76200" cy="47625"/>
    <xdr:sp fLocksText="0">
      <xdr:nvSpPr>
        <xdr:cNvPr id="48" name="Text Box 4"/>
        <xdr:cNvSpPr txBox="1">
          <a:spLocks noChangeArrowheads="1"/>
        </xdr:cNvSpPr>
      </xdr:nvSpPr>
      <xdr:spPr>
        <a:xfrm>
          <a:off x="762000" y="54873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762000</xdr:colOff>
      <xdr:row>174</xdr:row>
      <xdr:rowOff>0</xdr:rowOff>
    </xdr:from>
    <xdr:ext cx="76200" cy="47625"/>
    <xdr:sp fLocksText="0">
      <xdr:nvSpPr>
        <xdr:cNvPr id="49" name="Text Box 4"/>
        <xdr:cNvSpPr txBox="1">
          <a:spLocks noChangeArrowheads="1"/>
        </xdr:cNvSpPr>
      </xdr:nvSpPr>
      <xdr:spPr>
        <a:xfrm>
          <a:off x="762000" y="55845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203</xdr:row>
      <xdr:rowOff>0</xdr:rowOff>
    </xdr:from>
    <xdr:ext cx="276225" cy="47625"/>
    <xdr:sp fLocksText="0">
      <xdr:nvSpPr>
        <xdr:cNvPr id="50" name="Text Box 1"/>
        <xdr:cNvSpPr txBox="1">
          <a:spLocks noChangeArrowheads="1"/>
        </xdr:cNvSpPr>
      </xdr:nvSpPr>
      <xdr:spPr>
        <a:xfrm>
          <a:off x="1981200" y="6523672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203</xdr:row>
      <xdr:rowOff>0</xdr:rowOff>
    </xdr:from>
    <xdr:ext cx="276225" cy="47625"/>
    <xdr:sp fLocksText="0">
      <xdr:nvSpPr>
        <xdr:cNvPr id="51" name="Text Box 4"/>
        <xdr:cNvSpPr txBox="1">
          <a:spLocks noChangeArrowheads="1"/>
        </xdr:cNvSpPr>
      </xdr:nvSpPr>
      <xdr:spPr>
        <a:xfrm>
          <a:off x="1981200" y="6523672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203</xdr:row>
      <xdr:rowOff>0</xdr:rowOff>
    </xdr:from>
    <xdr:ext cx="276225" cy="47625"/>
    <xdr:sp fLocksText="0">
      <xdr:nvSpPr>
        <xdr:cNvPr id="52" name="Text Box 1"/>
        <xdr:cNvSpPr txBox="1">
          <a:spLocks noChangeArrowheads="1"/>
        </xdr:cNvSpPr>
      </xdr:nvSpPr>
      <xdr:spPr>
        <a:xfrm>
          <a:off x="1981200" y="6523672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203</xdr:row>
      <xdr:rowOff>0</xdr:rowOff>
    </xdr:from>
    <xdr:ext cx="276225" cy="47625"/>
    <xdr:sp fLocksText="0">
      <xdr:nvSpPr>
        <xdr:cNvPr id="53" name="Text Box 4"/>
        <xdr:cNvSpPr txBox="1">
          <a:spLocks noChangeArrowheads="1"/>
        </xdr:cNvSpPr>
      </xdr:nvSpPr>
      <xdr:spPr>
        <a:xfrm>
          <a:off x="1981200" y="6523672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238</xdr:row>
      <xdr:rowOff>0</xdr:rowOff>
    </xdr:from>
    <xdr:ext cx="276225" cy="47625"/>
    <xdr:sp fLocksText="0">
      <xdr:nvSpPr>
        <xdr:cNvPr id="54" name="Text Box 1"/>
        <xdr:cNvSpPr txBox="1">
          <a:spLocks noChangeArrowheads="1"/>
        </xdr:cNvSpPr>
      </xdr:nvSpPr>
      <xdr:spPr>
        <a:xfrm>
          <a:off x="1981200" y="765714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238</xdr:row>
      <xdr:rowOff>0</xdr:rowOff>
    </xdr:from>
    <xdr:ext cx="276225" cy="47625"/>
    <xdr:sp fLocksText="0">
      <xdr:nvSpPr>
        <xdr:cNvPr id="55" name="Text Box 4"/>
        <xdr:cNvSpPr txBox="1">
          <a:spLocks noChangeArrowheads="1"/>
        </xdr:cNvSpPr>
      </xdr:nvSpPr>
      <xdr:spPr>
        <a:xfrm>
          <a:off x="1981200" y="765714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238</xdr:row>
      <xdr:rowOff>0</xdr:rowOff>
    </xdr:from>
    <xdr:ext cx="276225" cy="47625"/>
    <xdr:sp fLocksText="0">
      <xdr:nvSpPr>
        <xdr:cNvPr id="56" name="Text Box 1"/>
        <xdr:cNvSpPr txBox="1">
          <a:spLocks noChangeArrowheads="1"/>
        </xdr:cNvSpPr>
      </xdr:nvSpPr>
      <xdr:spPr>
        <a:xfrm>
          <a:off x="1981200" y="765714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238</xdr:row>
      <xdr:rowOff>0</xdr:rowOff>
    </xdr:from>
    <xdr:ext cx="276225" cy="47625"/>
    <xdr:sp fLocksText="0">
      <xdr:nvSpPr>
        <xdr:cNvPr id="57" name="Text Box 4"/>
        <xdr:cNvSpPr txBox="1">
          <a:spLocks noChangeArrowheads="1"/>
        </xdr:cNvSpPr>
      </xdr:nvSpPr>
      <xdr:spPr>
        <a:xfrm>
          <a:off x="1981200" y="7657147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267</xdr:row>
      <xdr:rowOff>0</xdr:rowOff>
    </xdr:from>
    <xdr:ext cx="276225" cy="47625"/>
    <xdr:sp fLocksText="0">
      <xdr:nvSpPr>
        <xdr:cNvPr id="58" name="Text Box 1"/>
        <xdr:cNvSpPr txBox="1">
          <a:spLocks noChangeArrowheads="1"/>
        </xdr:cNvSpPr>
      </xdr:nvSpPr>
      <xdr:spPr>
        <a:xfrm>
          <a:off x="1981200" y="8596312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267</xdr:row>
      <xdr:rowOff>0</xdr:rowOff>
    </xdr:from>
    <xdr:ext cx="276225" cy="47625"/>
    <xdr:sp fLocksText="0">
      <xdr:nvSpPr>
        <xdr:cNvPr id="59" name="Text Box 4"/>
        <xdr:cNvSpPr txBox="1">
          <a:spLocks noChangeArrowheads="1"/>
        </xdr:cNvSpPr>
      </xdr:nvSpPr>
      <xdr:spPr>
        <a:xfrm>
          <a:off x="1981200" y="8596312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267</xdr:row>
      <xdr:rowOff>0</xdr:rowOff>
    </xdr:from>
    <xdr:ext cx="276225" cy="47625"/>
    <xdr:sp fLocksText="0">
      <xdr:nvSpPr>
        <xdr:cNvPr id="60" name="Text Box 1"/>
        <xdr:cNvSpPr txBox="1">
          <a:spLocks noChangeArrowheads="1"/>
        </xdr:cNvSpPr>
      </xdr:nvSpPr>
      <xdr:spPr>
        <a:xfrm>
          <a:off x="1981200" y="8596312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267</xdr:row>
      <xdr:rowOff>0</xdr:rowOff>
    </xdr:from>
    <xdr:ext cx="276225" cy="47625"/>
    <xdr:sp fLocksText="0">
      <xdr:nvSpPr>
        <xdr:cNvPr id="61" name="Text Box 4"/>
        <xdr:cNvSpPr txBox="1">
          <a:spLocks noChangeArrowheads="1"/>
        </xdr:cNvSpPr>
      </xdr:nvSpPr>
      <xdr:spPr>
        <a:xfrm>
          <a:off x="1981200" y="8596312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305</xdr:row>
      <xdr:rowOff>0</xdr:rowOff>
    </xdr:from>
    <xdr:ext cx="276225" cy="47625"/>
    <xdr:sp fLocksText="0">
      <xdr:nvSpPr>
        <xdr:cNvPr id="62" name="Text Box 1"/>
        <xdr:cNvSpPr txBox="1">
          <a:spLocks noChangeArrowheads="1"/>
        </xdr:cNvSpPr>
      </xdr:nvSpPr>
      <xdr:spPr>
        <a:xfrm>
          <a:off x="1981200" y="9826942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305</xdr:row>
      <xdr:rowOff>0</xdr:rowOff>
    </xdr:from>
    <xdr:ext cx="276225" cy="47625"/>
    <xdr:sp fLocksText="0">
      <xdr:nvSpPr>
        <xdr:cNvPr id="63" name="Text Box 4"/>
        <xdr:cNvSpPr txBox="1">
          <a:spLocks noChangeArrowheads="1"/>
        </xdr:cNvSpPr>
      </xdr:nvSpPr>
      <xdr:spPr>
        <a:xfrm>
          <a:off x="1981200" y="9826942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305</xdr:row>
      <xdr:rowOff>0</xdr:rowOff>
    </xdr:from>
    <xdr:ext cx="276225" cy="47625"/>
    <xdr:sp fLocksText="0">
      <xdr:nvSpPr>
        <xdr:cNvPr id="64" name="Text Box 1"/>
        <xdr:cNvSpPr txBox="1">
          <a:spLocks noChangeArrowheads="1"/>
        </xdr:cNvSpPr>
      </xdr:nvSpPr>
      <xdr:spPr>
        <a:xfrm>
          <a:off x="1981200" y="9826942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305</xdr:row>
      <xdr:rowOff>0</xdr:rowOff>
    </xdr:from>
    <xdr:ext cx="276225" cy="47625"/>
    <xdr:sp fLocksText="0">
      <xdr:nvSpPr>
        <xdr:cNvPr id="65" name="Text Box 4"/>
        <xdr:cNvSpPr txBox="1">
          <a:spLocks noChangeArrowheads="1"/>
        </xdr:cNvSpPr>
      </xdr:nvSpPr>
      <xdr:spPr>
        <a:xfrm>
          <a:off x="1981200" y="9826942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343</xdr:row>
      <xdr:rowOff>0</xdr:rowOff>
    </xdr:from>
    <xdr:ext cx="276225" cy="47625"/>
    <xdr:sp fLocksText="0">
      <xdr:nvSpPr>
        <xdr:cNvPr id="66" name="Text Box 1"/>
        <xdr:cNvSpPr txBox="1">
          <a:spLocks noChangeArrowheads="1"/>
        </xdr:cNvSpPr>
      </xdr:nvSpPr>
      <xdr:spPr>
        <a:xfrm>
          <a:off x="1981200" y="11057572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343</xdr:row>
      <xdr:rowOff>0</xdr:rowOff>
    </xdr:from>
    <xdr:ext cx="276225" cy="47625"/>
    <xdr:sp fLocksText="0">
      <xdr:nvSpPr>
        <xdr:cNvPr id="67" name="Text Box 4"/>
        <xdr:cNvSpPr txBox="1">
          <a:spLocks noChangeArrowheads="1"/>
        </xdr:cNvSpPr>
      </xdr:nvSpPr>
      <xdr:spPr>
        <a:xfrm>
          <a:off x="1981200" y="11057572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343</xdr:row>
      <xdr:rowOff>0</xdr:rowOff>
    </xdr:from>
    <xdr:ext cx="276225" cy="47625"/>
    <xdr:sp fLocksText="0">
      <xdr:nvSpPr>
        <xdr:cNvPr id="68" name="Text Box 1"/>
        <xdr:cNvSpPr txBox="1">
          <a:spLocks noChangeArrowheads="1"/>
        </xdr:cNvSpPr>
      </xdr:nvSpPr>
      <xdr:spPr>
        <a:xfrm>
          <a:off x="1981200" y="11057572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343</xdr:row>
      <xdr:rowOff>0</xdr:rowOff>
    </xdr:from>
    <xdr:ext cx="276225" cy="47625"/>
    <xdr:sp fLocksText="0">
      <xdr:nvSpPr>
        <xdr:cNvPr id="69" name="Text Box 4"/>
        <xdr:cNvSpPr txBox="1">
          <a:spLocks noChangeArrowheads="1"/>
        </xdr:cNvSpPr>
      </xdr:nvSpPr>
      <xdr:spPr>
        <a:xfrm>
          <a:off x="1981200" y="11057572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381</xdr:row>
      <xdr:rowOff>0</xdr:rowOff>
    </xdr:from>
    <xdr:ext cx="276225" cy="47625"/>
    <xdr:sp fLocksText="0">
      <xdr:nvSpPr>
        <xdr:cNvPr id="70" name="Text Box 1"/>
        <xdr:cNvSpPr txBox="1">
          <a:spLocks noChangeArrowheads="1"/>
        </xdr:cNvSpPr>
      </xdr:nvSpPr>
      <xdr:spPr>
        <a:xfrm>
          <a:off x="1981200" y="12288202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381</xdr:row>
      <xdr:rowOff>0</xdr:rowOff>
    </xdr:from>
    <xdr:ext cx="276225" cy="47625"/>
    <xdr:sp fLocksText="0">
      <xdr:nvSpPr>
        <xdr:cNvPr id="71" name="Text Box 4"/>
        <xdr:cNvSpPr txBox="1">
          <a:spLocks noChangeArrowheads="1"/>
        </xdr:cNvSpPr>
      </xdr:nvSpPr>
      <xdr:spPr>
        <a:xfrm>
          <a:off x="1981200" y="12288202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381</xdr:row>
      <xdr:rowOff>0</xdr:rowOff>
    </xdr:from>
    <xdr:ext cx="276225" cy="47625"/>
    <xdr:sp fLocksText="0">
      <xdr:nvSpPr>
        <xdr:cNvPr id="72" name="Text Box 1"/>
        <xdr:cNvSpPr txBox="1">
          <a:spLocks noChangeArrowheads="1"/>
        </xdr:cNvSpPr>
      </xdr:nvSpPr>
      <xdr:spPr>
        <a:xfrm>
          <a:off x="1981200" y="12288202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1219200</xdr:colOff>
      <xdr:row>381</xdr:row>
      <xdr:rowOff>0</xdr:rowOff>
    </xdr:from>
    <xdr:ext cx="276225" cy="47625"/>
    <xdr:sp fLocksText="0">
      <xdr:nvSpPr>
        <xdr:cNvPr id="73" name="Text Box 4"/>
        <xdr:cNvSpPr txBox="1">
          <a:spLocks noChangeArrowheads="1"/>
        </xdr:cNvSpPr>
      </xdr:nvSpPr>
      <xdr:spPr>
        <a:xfrm>
          <a:off x="1981200" y="122882025"/>
          <a:ext cx="276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371475</xdr:colOff>
      <xdr:row>0</xdr:row>
      <xdr:rowOff>0</xdr:rowOff>
    </xdr:from>
    <xdr:ext cx="104775" cy="47625"/>
    <xdr:sp fLocksText="0">
      <xdr:nvSpPr>
        <xdr:cNvPr id="1" name="Text Box 1"/>
        <xdr:cNvSpPr txBox="1">
          <a:spLocks noChangeArrowheads="1"/>
        </xdr:cNvSpPr>
      </xdr:nvSpPr>
      <xdr:spPr>
        <a:xfrm>
          <a:off x="3714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3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4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5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76200" cy="95250"/>
    <xdr:sp fLocksText="0">
      <xdr:nvSpPr>
        <xdr:cNvPr id="6" name="Text Box 1"/>
        <xdr:cNvSpPr txBox="1">
          <a:spLocks noChangeArrowheads="1"/>
        </xdr:cNvSpPr>
      </xdr:nvSpPr>
      <xdr:spPr>
        <a:xfrm>
          <a:off x="371475" y="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76200" cy="95250"/>
    <xdr:sp fLocksText="0">
      <xdr:nvSpPr>
        <xdr:cNvPr id="7" name="Text Box 4"/>
        <xdr:cNvSpPr txBox="1">
          <a:spLocks noChangeArrowheads="1"/>
        </xdr:cNvSpPr>
      </xdr:nvSpPr>
      <xdr:spPr>
        <a:xfrm>
          <a:off x="371475" y="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8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9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0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1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2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3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4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5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6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7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8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9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0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1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2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3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4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5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6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7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8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9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30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31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76200" cy="85725"/>
    <xdr:sp fLocksText="0">
      <xdr:nvSpPr>
        <xdr:cNvPr id="32" name="Text Box 1"/>
        <xdr:cNvSpPr txBox="1">
          <a:spLocks noChangeArrowheads="1"/>
        </xdr:cNvSpPr>
      </xdr:nvSpPr>
      <xdr:spPr>
        <a:xfrm>
          <a:off x="371475" y="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76200" cy="95250"/>
    <xdr:sp fLocksText="0">
      <xdr:nvSpPr>
        <xdr:cNvPr id="33" name="Text Box 4"/>
        <xdr:cNvSpPr txBox="1">
          <a:spLocks noChangeArrowheads="1"/>
        </xdr:cNvSpPr>
      </xdr:nvSpPr>
      <xdr:spPr>
        <a:xfrm>
          <a:off x="371475" y="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34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35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36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37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38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39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40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41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42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43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44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45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46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47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48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49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50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51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52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53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54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55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56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57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58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59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60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61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62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63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64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65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95250" cy="66675"/>
    <xdr:sp fLocksText="0">
      <xdr:nvSpPr>
        <xdr:cNvPr id="66" name="Text Box 1"/>
        <xdr:cNvSpPr txBox="1">
          <a:spLocks noChangeArrowheads="1"/>
        </xdr:cNvSpPr>
      </xdr:nvSpPr>
      <xdr:spPr>
        <a:xfrm>
          <a:off x="371475" y="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95250" cy="66675"/>
    <xdr:sp fLocksText="0">
      <xdr:nvSpPr>
        <xdr:cNvPr id="67" name="Text Box 2"/>
        <xdr:cNvSpPr txBox="1">
          <a:spLocks noChangeArrowheads="1"/>
        </xdr:cNvSpPr>
      </xdr:nvSpPr>
      <xdr:spPr>
        <a:xfrm>
          <a:off x="371475" y="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95250" cy="66675"/>
    <xdr:sp fLocksText="0">
      <xdr:nvSpPr>
        <xdr:cNvPr id="68" name="Text Box 1"/>
        <xdr:cNvSpPr txBox="1">
          <a:spLocks noChangeArrowheads="1"/>
        </xdr:cNvSpPr>
      </xdr:nvSpPr>
      <xdr:spPr>
        <a:xfrm>
          <a:off x="371475" y="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95250" cy="66675"/>
    <xdr:sp fLocksText="0">
      <xdr:nvSpPr>
        <xdr:cNvPr id="69" name="Text Box 2"/>
        <xdr:cNvSpPr txBox="1">
          <a:spLocks noChangeArrowheads="1"/>
        </xdr:cNvSpPr>
      </xdr:nvSpPr>
      <xdr:spPr>
        <a:xfrm>
          <a:off x="371475" y="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95250" cy="47625"/>
    <xdr:sp fLocksText="0">
      <xdr:nvSpPr>
        <xdr:cNvPr id="70" name="Text Box 1"/>
        <xdr:cNvSpPr txBox="1">
          <a:spLocks noChangeArrowheads="1"/>
        </xdr:cNvSpPr>
      </xdr:nvSpPr>
      <xdr:spPr>
        <a:xfrm>
          <a:off x="371475" y="0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95250" cy="47625"/>
    <xdr:sp fLocksText="0">
      <xdr:nvSpPr>
        <xdr:cNvPr id="71" name="Text Box 2"/>
        <xdr:cNvSpPr txBox="1">
          <a:spLocks noChangeArrowheads="1"/>
        </xdr:cNvSpPr>
      </xdr:nvSpPr>
      <xdr:spPr>
        <a:xfrm>
          <a:off x="371475" y="0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95250" cy="66675"/>
    <xdr:sp fLocksText="0">
      <xdr:nvSpPr>
        <xdr:cNvPr id="72" name="Text Box 1"/>
        <xdr:cNvSpPr txBox="1">
          <a:spLocks noChangeArrowheads="1"/>
        </xdr:cNvSpPr>
      </xdr:nvSpPr>
      <xdr:spPr>
        <a:xfrm>
          <a:off x="371475" y="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95250" cy="66675"/>
    <xdr:sp fLocksText="0">
      <xdr:nvSpPr>
        <xdr:cNvPr id="73" name="Text Box 2"/>
        <xdr:cNvSpPr txBox="1">
          <a:spLocks noChangeArrowheads="1"/>
        </xdr:cNvSpPr>
      </xdr:nvSpPr>
      <xdr:spPr>
        <a:xfrm>
          <a:off x="371475" y="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95250" cy="66675"/>
    <xdr:sp fLocksText="0">
      <xdr:nvSpPr>
        <xdr:cNvPr id="74" name="Text Box 1"/>
        <xdr:cNvSpPr txBox="1">
          <a:spLocks noChangeArrowheads="1"/>
        </xdr:cNvSpPr>
      </xdr:nvSpPr>
      <xdr:spPr>
        <a:xfrm>
          <a:off x="371475" y="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95250" cy="66675"/>
    <xdr:sp fLocksText="0">
      <xdr:nvSpPr>
        <xdr:cNvPr id="75" name="Text Box 2"/>
        <xdr:cNvSpPr txBox="1">
          <a:spLocks noChangeArrowheads="1"/>
        </xdr:cNvSpPr>
      </xdr:nvSpPr>
      <xdr:spPr>
        <a:xfrm>
          <a:off x="371475" y="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76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77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78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79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80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81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82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83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84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85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86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87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88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89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90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91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92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93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94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95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96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97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98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99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00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01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02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03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04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05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06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07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08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09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10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11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95250" cy="76200"/>
    <xdr:sp fLocksText="0">
      <xdr:nvSpPr>
        <xdr:cNvPr id="112" name="Text Box 1"/>
        <xdr:cNvSpPr txBox="1">
          <a:spLocks noChangeArrowheads="1"/>
        </xdr:cNvSpPr>
      </xdr:nvSpPr>
      <xdr:spPr>
        <a:xfrm>
          <a:off x="371475" y="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95250" cy="76200"/>
    <xdr:sp fLocksText="0">
      <xdr:nvSpPr>
        <xdr:cNvPr id="113" name="Text Box 2"/>
        <xdr:cNvSpPr txBox="1">
          <a:spLocks noChangeArrowheads="1"/>
        </xdr:cNvSpPr>
      </xdr:nvSpPr>
      <xdr:spPr>
        <a:xfrm>
          <a:off x="371475" y="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95250" cy="66675"/>
    <xdr:sp fLocksText="0">
      <xdr:nvSpPr>
        <xdr:cNvPr id="114" name="Text Box 1"/>
        <xdr:cNvSpPr txBox="1">
          <a:spLocks noChangeArrowheads="1"/>
        </xdr:cNvSpPr>
      </xdr:nvSpPr>
      <xdr:spPr>
        <a:xfrm>
          <a:off x="371475" y="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95250" cy="66675"/>
    <xdr:sp fLocksText="0">
      <xdr:nvSpPr>
        <xdr:cNvPr id="115" name="Text Box 2"/>
        <xdr:cNvSpPr txBox="1">
          <a:spLocks noChangeArrowheads="1"/>
        </xdr:cNvSpPr>
      </xdr:nvSpPr>
      <xdr:spPr>
        <a:xfrm>
          <a:off x="371475" y="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95250" cy="66675"/>
    <xdr:sp fLocksText="0">
      <xdr:nvSpPr>
        <xdr:cNvPr id="116" name="Text Box 1"/>
        <xdr:cNvSpPr txBox="1">
          <a:spLocks noChangeArrowheads="1"/>
        </xdr:cNvSpPr>
      </xdr:nvSpPr>
      <xdr:spPr>
        <a:xfrm>
          <a:off x="371475" y="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95250" cy="66675"/>
    <xdr:sp fLocksText="0">
      <xdr:nvSpPr>
        <xdr:cNvPr id="117" name="Text Box 2"/>
        <xdr:cNvSpPr txBox="1">
          <a:spLocks noChangeArrowheads="1"/>
        </xdr:cNvSpPr>
      </xdr:nvSpPr>
      <xdr:spPr>
        <a:xfrm>
          <a:off x="371475" y="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95250" cy="66675"/>
    <xdr:sp fLocksText="0">
      <xdr:nvSpPr>
        <xdr:cNvPr id="118" name="Text Box 1"/>
        <xdr:cNvSpPr txBox="1">
          <a:spLocks noChangeArrowheads="1"/>
        </xdr:cNvSpPr>
      </xdr:nvSpPr>
      <xdr:spPr>
        <a:xfrm>
          <a:off x="371475" y="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95250" cy="66675"/>
    <xdr:sp fLocksText="0">
      <xdr:nvSpPr>
        <xdr:cNvPr id="119" name="Text Box 2"/>
        <xdr:cNvSpPr txBox="1">
          <a:spLocks noChangeArrowheads="1"/>
        </xdr:cNvSpPr>
      </xdr:nvSpPr>
      <xdr:spPr>
        <a:xfrm>
          <a:off x="371475" y="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95250" cy="66675"/>
    <xdr:sp fLocksText="0">
      <xdr:nvSpPr>
        <xdr:cNvPr id="120" name="Text Box 1"/>
        <xdr:cNvSpPr txBox="1">
          <a:spLocks noChangeArrowheads="1"/>
        </xdr:cNvSpPr>
      </xdr:nvSpPr>
      <xdr:spPr>
        <a:xfrm>
          <a:off x="371475" y="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95250" cy="66675"/>
    <xdr:sp fLocksText="0">
      <xdr:nvSpPr>
        <xdr:cNvPr id="121" name="Text Box 2"/>
        <xdr:cNvSpPr txBox="1">
          <a:spLocks noChangeArrowheads="1"/>
        </xdr:cNvSpPr>
      </xdr:nvSpPr>
      <xdr:spPr>
        <a:xfrm>
          <a:off x="371475" y="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22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23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24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25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76200" cy="47625"/>
    <xdr:sp fLocksText="0">
      <xdr:nvSpPr>
        <xdr:cNvPr id="126" name="Text Box 1"/>
        <xdr:cNvSpPr txBox="1">
          <a:spLocks noChangeArrowheads="1"/>
        </xdr:cNvSpPr>
      </xdr:nvSpPr>
      <xdr:spPr>
        <a:xfrm>
          <a:off x="371475" y="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76200" cy="47625"/>
    <xdr:sp fLocksText="0">
      <xdr:nvSpPr>
        <xdr:cNvPr id="127" name="Text Box 4"/>
        <xdr:cNvSpPr txBox="1">
          <a:spLocks noChangeArrowheads="1"/>
        </xdr:cNvSpPr>
      </xdr:nvSpPr>
      <xdr:spPr>
        <a:xfrm>
          <a:off x="371475" y="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28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29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30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31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32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33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34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35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36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37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38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39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40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41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42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43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44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45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46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47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48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49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50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51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52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53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54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55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56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57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58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59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2</xdr:row>
      <xdr:rowOff>0</xdr:rowOff>
    </xdr:from>
    <xdr:ext cx="104775" cy="47625"/>
    <xdr:sp fLocksText="0">
      <xdr:nvSpPr>
        <xdr:cNvPr id="160" name="Text Box 1"/>
        <xdr:cNvSpPr txBox="1">
          <a:spLocks noChangeArrowheads="1"/>
        </xdr:cNvSpPr>
      </xdr:nvSpPr>
      <xdr:spPr>
        <a:xfrm>
          <a:off x="3714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161" name="Text Box 1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162" name="Text Box 4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163" name="Text Box 1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164" name="Text Box 4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2</xdr:row>
      <xdr:rowOff>0</xdr:rowOff>
    </xdr:from>
    <xdr:ext cx="76200" cy="95250"/>
    <xdr:sp fLocksText="0">
      <xdr:nvSpPr>
        <xdr:cNvPr id="165" name="Text Box 1"/>
        <xdr:cNvSpPr txBox="1">
          <a:spLocks noChangeArrowheads="1"/>
        </xdr:cNvSpPr>
      </xdr:nvSpPr>
      <xdr:spPr>
        <a:xfrm>
          <a:off x="371475" y="6477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2</xdr:row>
      <xdr:rowOff>0</xdr:rowOff>
    </xdr:from>
    <xdr:ext cx="76200" cy="95250"/>
    <xdr:sp fLocksText="0">
      <xdr:nvSpPr>
        <xdr:cNvPr id="166" name="Text Box 4"/>
        <xdr:cNvSpPr txBox="1">
          <a:spLocks noChangeArrowheads="1"/>
        </xdr:cNvSpPr>
      </xdr:nvSpPr>
      <xdr:spPr>
        <a:xfrm>
          <a:off x="371475" y="6477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167" name="Text Box 1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168" name="Text Box 4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169" name="Text Box 1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170" name="Text Box 4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38</xdr:row>
      <xdr:rowOff>0</xdr:rowOff>
    </xdr:from>
    <xdr:ext cx="104775" cy="38100"/>
    <xdr:sp fLocksText="0">
      <xdr:nvSpPr>
        <xdr:cNvPr id="171" name="Text Box 1"/>
        <xdr:cNvSpPr txBox="1">
          <a:spLocks noChangeArrowheads="1"/>
        </xdr:cNvSpPr>
      </xdr:nvSpPr>
      <xdr:spPr>
        <a:xfrm>
          <a:off x="1057275" y="1229677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38</xdr:row>
      <xdr:rowOff>0</xdr:rowOff>
    </xdr:from>
    <xdr:ext cx="104775" cy="38100"/>
    <xdr:sp fLocksText="0">
      <xdr:nvSpPr>
        <xdr:cNvPr id="172" name="Text Box 4"/>
        <xdr:cNvSpPr txBox="1">
          <a:spLocks noChangeArrowheads="1"/>
        </xdr:cNvSpPr>
      </xdr:nvSpPr>
      <xdr:spPr>
        <a:xfrm>
          <a:off x="1057275" y="1229677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38</xdr:row>
      <xdr:rowOff>0</xdr:rowOff>
    </xdr:from>
    <xdr:ext cx="104775" cy="38100"/>
    <xdr:sp fLocksText="0">
      <xdr:nvSpPr>
        <xdr:cNvPr id="173" name="Text Box 1"/>
        <xdr:cNvSpPr txBox="1">
          <a:spLocks noChangeArrowheads="1"/>
        </xdr:cNvSpPr>
      </xdr:nvSpPr>
      <xdr:spPr>
        <a:xfrm>
          <a:off x="1057275" y="1229677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38</xdr:row>
      <xdr:rowOff>0</xdr:rowOff>
    </xdr:from>
    <xdr:ext cx="104775" cy="38100"/>
    <xdr:sp fLocksText="0">
      <xdr:nvSpPr>
        <xdr:cNvPr id="174" name="Text Box 4"/>
        <xdr:cNvSpPr txBox="1">
          <a:spLocks noChangeArrowheads="1"/>
        </xdr:cNvSpPr>
      </xdr:nvSpPr>
      <xdr:spPr>
        <a:xfrm>
          <a:off x="1057275" y="1229677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75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76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77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78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79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80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81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82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183" name="Text Box 1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184" name="Text Box 4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185" name="Text Box 1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186" name="Text Box 4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187" name="Text Box 1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188" name="Text Box 4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189" name="Text Box 1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190" name="Text Box 4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2</xdr:row>
      <xdr:rowOff>0</xdr:rowOff>
    </xdr:from>
    <xdr:ext cx="76200" cy="85725"/>
    <xdr:sp fLocksText="0">
      <xdr:nvSpPr>
        <xdr:cNvPr id="191" name="Text Box 1"/>
        <xdr:cNvSpPr txBox="1">
          <a:spLocks noChangeArrowheads="1"/>
        </xdr:cNvSpPr>
      </xdr:nvSpPr>
      <xdr:spPr>
        <a:xfrm>
          <a:off x="371475" y="6477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2</xdr:row>
      <xdr:rowOff>0</xdr:rowOff>
    </xdr:from>
    <xdr:ext cx="76200" cy="95250"/>
    <xdr:sp fLocksText="0">
      <xdr:nvSpPr>
        <xdr:cNvPr id="192" name="Text Box 4"/>
        <xdr:cNvSpPr txBox="1">
          <a:spLocks noChangeArrowheads="1"/>
        </xdr:cNvSpPr>
      </xdr:nvSpPr>
      <xdr:spPr>
        <a:xfrm>
          <a:off x="371475" y="6477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14</xdr:row>
      <xdr:rowOff>0</xdr:rowOff>
    </xdr:from>
    <xdr:ext cx="104775" cy="47625"/>
    <xdr:sp fLocksText="0">
      <xdr:nvSpPr>
        <xdr:cNvPr id="193" name="Text Box 1"/>
        <xdr:cNvSpPr txBox="1">
          <a:spLocks noChangeArrowheads="1"/>
        </xdr:cNvSpPr>
      </xdr:nvSpPr>
      <xdr:spPr>
        <a:xfrm>
          <a:off x="1057275" y="4533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14</xdr:row>
      <xdr:rowOff>0</xdr:rowOff>
    </xdr:from>
    <xdr:ext cx="104775" cy="47625"/>
    <xdr:sp fLocksText="0">
      <xdr:nvSpPr>
        <xdr:cNvPr id="194" name="Text Box 4"/>
        <xdr:cNvSpPr txBox="1">
          <a:spLocks noChangeArrowheads="1"/>
        </xdr:cNvSpPr>
      </xdr:nvSpPr>
      <xdr:spPr>
        <a:xfrm>
          <a:off x="1057275" y="4533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14</xdr:row>
      <xdr:rowOff>0</xdr:rowOff>
    </xdr:from>
    <xdr:ext cx="104775" cy="47625"/>
    <xdr:sp fLocksText="0">
      <xdr:nvSpPr>
        <xdr:cNvPr id="195" name="Text Box 1"/>
        <xdr:cNvSpPr txBox="1">
          <a:spLocks noChangeArrowheads="1"/>
        </xdr:cNvSpPr>
      </xdr:nvSpPr>
      <xdr:spPr>
        <a:xfrm>
          <a:off x="1057275" y="4533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14</xdr:row>
      <xdr:rowOff>0</xdr:rowOff>
    </xdr:from>
    <xdr:ext cx="104775" cy="47625"/>
    <xdr:sp fLocksText="0">
      <xdr:nvSpPr>
        <xdr:cNvPr id="196" name="Text Box 4"/>
        <xdr:cNvSpPr txBox="1">
          <a:spLocks noChangeArrowheads="1"/>
        </xdr:cNvSpPr>
      </xdr:nvSpPr>
      <xdr:spPr>
        <a:xfrm>
          <a:off x="1057275" y="4533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97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98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199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00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01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02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03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04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05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06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07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08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09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10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11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12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213" name="Text Box 1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214" name="Text Box 4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215" name="Text Box 1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216" name="Text Box 4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17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18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19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20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21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22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23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24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95250" cy="66675"/>
    <xdr:sp fLocksText="0">
      <xdr:nvSpPr>
        <xdr:cNvPr id="225" name="Text Box 1"/>
        <xdr:cNvSpPr txBox="1">
          <a:spLocks noChangeArrowheads="1"/>
        </xdr:cNvSpPr>
      </xdr:nvSpPr>
      <xdr:spPr>
        <a:xfrm>
          <a:off x="371475" y="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95250" cy="66675"/>
    <xdr:sp fLocksText="0">
      <xdr:nvSpPr>
        <xdr:cNvPr id="226" name="Text Box 2"/>
        <xdr:cNvSpPr txBox="1">
          <a:spLocks noChangeArrowheads="1"/>
        </xdr:cNvSpPr>
      </xdr:nvSpPr>
      <xdr:spPr>
        <a:xfrm>
          <a:off x="371475" y="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95250" cy="66675"/>
    <xdr:sp fLocksText="0">
      <xdr:nvSpPr>
        <xdr:cNvPr id="227" name="Text Box 1"/>
        <xdr:cNvSpPr txBox="1">
          <a:spLocks noChangeArrowheads="1"/>
        </xdr:cNvSpPr>
      </xdr:nvSpPr>
      <xdr:spPr>
        <a:xfrm>
          <a:off x="371475" y="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95250" cy="66675"/>
    <xdr:sp fLocksText="0">
      <xdr:nvSpPr>
        <xdr:cNvPr id="228" name="Text Box 2"/>
        <xdr:cNvSpPr txBox="1">
          <a:spLocks noChangeArrowheads="1"/>
        </xdr:cNvSpPr>
      </xdr:nvSpPr>
      <xdr:spPr>
        <a:xfrm>
          <a:off x="371475" y="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95250" cy="47625"/>
    <xdr:sp fLocksText="0">
      <xdr:nvSpPr>
        <xdr:cNvPr id="229" name="Text Box 1"/>
        <xdr:cNvSpPr txBox="1">
          <a:spLocks noChangeArrowheads="1"/>
        </xdr:cNvSpPr>
      </xdr:nvSpPr>
      <xdr:spPr>
        <a:xfrm>
          <a:off x="371475" y="0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95250" cy="47625"/>
    <xdr:sp fLocksText="0">
      <xdr:nvSpPr>
        <xdr:cNvPr id="230" name="Text Box 2"/>
        <xdr:cNvSpPr txBox="1">
          <a:spLocks noChangeArrowheads="1"/>
        </xdr:cNvSpPr>
      </xdr:nvSpPr>
      <xdr:spPr>
        <a:xfrm>
          <a:off x="371475" y="0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95250" cy="66675"/>
    <xdr:sp fLocksText="0">
      <xdr:nvSpPr>
        <xdr:cNvPr id="231" name="Text Box 1"/>
        <xdr:cNvSpPr txBox="1">
          <a:spLocks noChangeArrowheads="1"/>
        </xdr:cNvSpPr>
      </xdr:nvSpPr>
      <xdr:spPr>
        <a:xfrm>
          <a:off x="371475" y="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95250" cy="66675"/>
    <xdr:sp fLocksText="0">
      <xdr:nvSpPr>
        <xdr:cNvPr id="232" name="Text Box 2"/>
        <xdr:cNvSpPr txBox="1">
          <a:spLocks noChangeArrowheads="1"/>
        </xdr:cNvSpPr>
      </xdr:nvSpPr>
      <xdr:spPr>
        <a:xfrm>
          <a:off x="371475" y="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95250" cy="66675"/>
    <xdr:sp fLocksText="0">
      <xdr:nvSpPr>
        <xdr:cNvPr id="233" name="Text Box 1"/>
        <xdr:cNvSpPr txBox="1">
          <a:spLocks noChangeArrowheads="1"/>
        </xdr:cNvSpPr>
      </xdr:nvSpPr>
      <xdr:spPr>
        <a:xfrm>
          <a:off x="371475" y="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95250" cy="66675"/>
    <xdr:sp fLocksText="0">
      <xdr:nvSpPr>
        <xdr:cNvPr id="234" name="Text Box 2"/>
        <xdr:cNvSpPr txBox="1">
          <a:spLocks noChangeArrowheads="1"/>
        </xdr:cNvSpPr>
      </xdr:nvSpPr>
      <xdr:spPr>
        <a:xfrm>
          <a:off x="371475" y="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35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36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37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38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39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40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41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42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243" name="Text Box 1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244" name="Text Box 4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245" name="Text Box 1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246" name="Text Box 4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247" name="Text Box 1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248" name="Text Box 4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249" name="Text Box 1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250" name="Text Box 4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251" name="Text Box 1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252" name="Text Box 4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253" name="Text Box 1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254" name="Text Box 4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255" name="Text Box 1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256" name="Text Box 4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257" name="Text Box 1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258" name="Text Box 4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259" name="Text Box 1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260" name="Text Box 4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261" name="Text Box 1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262" name="Text Box 4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263" name="Text Box 1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264" name="Text Box 4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265" name="Text Box 1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266" name="Text Box 4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267" name="Text Box 1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268" name="Text Box 4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269" name="Text Box 1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2</xdr:row>
      <xdr:rowOff>0</xdr:rowOff>
    </xdr:from>
    <xdr:ext cx="104775" cy="47625"/>
    <xdr:sp fLocksText="0">
      <xdr:nvSpPr>
        <xdr:cNvPr id="270" name="Text Box 4"/>
        <xdr:cNvSpPr txBox="1">
          <a:spLocks noChangeArrowheads="1"/>
        </xdr:cNvSpPr>
      </xdr:nvSpPr>
      <xdr:spPr>
        <a:xfrm>
          <a:off x="1057275" y="647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2</xdr:row>
      <xdr:rowOff>0</xdr:rowOff>
    </xdr:from>
    <xdr:ext cx="95250" cy="76200"/>
    <xdr:sp fLocksText="0">
      <xdr:nvSpPr>
        <xdr:cNvPr id="271" name="Text Box 1"/>
        <xdr:cNvSpPr txBox="1">
          <a:spLocks noChangeArrowheads="1"/>
        </xdr:cNvSpPr>
      </xdr:nvSpPr>
      <xdr:spPr>
        <a:xfrm>
          <a:off x="371475" y="6477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2</xdr:row>
      <xdr:rowOff>0</xdr:rowOff>
    </xdr:from>
    <xdr:ext cx="95250" cy="76200"/>
    <xdr:sp fLocksText="0">
      <xdr:nvSpPr>
        <xdr:cNvPr id="272" name="Text Box 2"/>
        <xdr:cNvSpPr txBox="1">
          <a:spLocks noChangeArrowheads="1"/>
        </xdr:cNvSpPr>
      </xdr:nvSpPr>
      <xdr:spPr>
        <a:xfrm>
          <a:off x="371475" y="6477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2</xdr:row>
      <xdr:rowOff>0</xdr:rowOff>
    </xdr:from>
    <xdr:ext cx="95250" cy="66675"/>
    <xdr:sp fLocksText="0">
      <xdr:nvSpPr>
        <xdr:cNvPr id="273" name="Text Box 1"/>
        <xdr:cNvSpPr txBox="1">
          <a:spLocks noChangeArrowheads="1"/>
        </xdr:cNvSpPr>
      </xdr:nvSpPr>
      <xdr:spPr>
        <a:xfrm>
          <a:off x="371475" y="6477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2</xdr:row>
      <xdr:rowOff>0</xdr:rowOff>
    </xdr:from>
    <xdr:ext cx="95250" cy="66675"/>
    <xdr:sp fLocksText="0">
      <xdr:nvSpPr>
        <xdr:cNvPr id="274" name="Text Box 2"/>
        <xdr:cNvSpPr txBox="1">
          <a:spLocks noChangeArrowheads="1"/>
        </xdr:cNvSpPr>
      </xdr:nvSpPr>
      <xdr:spPr>
        <a:xfrm>
          <a:off x="371475" y="6477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2</xdr:row>
      <xdr:rowOff>0</xdr:rowOff>
    </xdr:from>
    <xdr:ext cx="95250" cy="66675"/>
    <xdr:sp fLocksText="0">
      <xdr:nvSpPr>
        <xdr:cNvPr id="275" name="Text Box 1"/>
        <xdr:cNvSpPr txBox="1">
          <a:spLocks noChangeArrowheads="1"/>
        </xdr:cNvSpPr>
      </xdr:nvSpPr>
      <xdr:spPr>
        <a:xfrm>
          <a:off x="371475" y="6477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2</xdr:row>
      <xdr:rowOff>0</xdr:rowOff>
    </xdr:from>
    <xdr:ext cx="95250" cy="66675"/>
    <xdr:sp fLocksText="0">
      <xdr:nvSpPr>
        <xdr:cNvPr id="276" name="Text Box 2"/>
        <xdr:cNvSpPr txBox="1">
          <a:spLocks noChangeArrowheads="1"/>
        </xdr:cNvSpPr>
      </xdr:nvSpPr>
      <xdr:spPr>
        <a:xfrm>
          <a:off x="371475" y="6477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2</xdr:row>
      <xdr:rowOff>0</xdr:rowOff>
    </xdr:from>
    <xdr:ext cx="95250" cy="66675"/>
    <xdr:sp fLocksText="0">
      <xdr:nvSpPr>
        <xdr:cNvPr id="277" name="Text Box 1"/>
        <xdr:cNvSpPr txBox="1">
          <a:spLocks noChangeArrowheads="1"/>
        </xdr:cNvSpPr>
      </xdr:nvSpPr>
      <xdr:spPr>
        <a:xfrm>
          <a:off x="371475" y="6477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2</xdr:row>
      <xdr:rowOff>0</xdr:rowOff>
    </xdr:from>
    <xdr:ext cx="95250" cy="66675"/>
    <xdr:sp fLocksText="0">
      <xdr:nvSpPr>
        <xdr:cNvPr id="278" name="Text Box 2"/>
        <xdr:cNvSpPr txBox="1">
          <a:spLocks noChangeArrowheads="1"/>
        </xdr:cNvSpPr>
      </xdr:nvSpPr>
      <xdr:spPr>
        <a:xfrm>
          <a:off x="371475" y="6477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2</xdr:row>
      <xdr:rowOff>0</xdr:rowOff>
    </xdr:from>
    <xdr:ext cx="95250" cy="66675"/>
    <xdr:sp fLocksText="0">
      <xdr:nvSpPr>
        <xdr:cNvPr id="279" name="Text Box 1"/>
        <xdr:cNvSpPr txBox="1">
          <a:spLocks noChangeArrowheads="1"/>
        </xdr:cNvSpPr>
      </xdr:nvSpPr>
      <xdr:spPr>
        <a:xfrm>
          <a:off x="371475" y="6477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2</xdr:row>
      <xdr:rowOff>0</xdr:rowOff>
    </xdr:from>
    <xdr:ext cx="95250" cy="66675"/>
    <xdr:sp fLocksText="0">
      <xdr:nvSpPr>
        <xdr:cNvPr id="280" name="Text Box 2"/>
        <xdr:cNvSpPr txBox="1">
          <a:spLocks noChangeArrowheads="1"/>
        </xdr:cNvSpPr>
      </xdr:nvSpPr>
      <xdr:spPr>
        <a:xfrm>
          <a:off x="371475" y="6477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81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82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83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84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76200" cy="47625"/>
    <xdr:sp fLocksText="0">
      <xdr:nvSpPr>
        <xdr:cNvPr id="285" name="Text Box 1"/>
        <xdr:cNvSpPr txBox="1">
          <a:spLocks noChangeArrowheads="1"/>
        </xdr:cNvSpPr>
      </xdr:nvSpPr>
      <xdr:spPr>
        <a:xfrm>
          <a:off x="371475" y="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0</xdr:row>
      <xdr:rowOff>0</xdr:rowOff>
    </xdr:from>
    <xdr:ext cx="76200" cy="47625"/>
    <xdr:sp fLocksText="0">
      <xdr:nvSpPr>
        <xdr:cNvPr id="286" name="Text Box 4"/>
        <xdr:cNvSpPr txBox="1">
          <a:spLocks noChangeArrowheads="1"/>
        </xdr:cNvSpPr>
      </xdr:nvSpPr>
      <xdr:spPr>
        <a:xfrm>
          <a:off x="371475" y="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87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88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89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90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91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92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93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94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95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96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97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98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299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300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301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302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303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304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305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306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307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308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309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310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36</xdr:row>
      <xdr:rowOff>0</xdr:rowOff>
    </xdr:from>
    <xdr:ext cx="104775" cy="47625"/>
    <xdr:sp fLocksText="0">
      <xdr:nvSpPr>
        <xdr:cNvPr id="311" name="Text Box 1"/>
        <xdr:cNvSpPr txBox="1">
          <a:spLocks noChangeArrowheads="1"/>
        </xdr:cNvSpPr>
      </xdr:nvSpPr>
      <xdr:spPr>
        <a:xfrm>
          <a:off x="1057275" y="116586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36</xdr:row>
      <xdr:rowOff>0</xdr:rowOff>
    </xdr:from>
    <xdr:ext cx="104775" cy="47625"/>
    <xdr:sp fLocksText="0">
      <xdr:nvSpPr>
        <xdr:cNvPr id="312" name="Text Box 4"/>
        <xdr:cNvSpPr txBox="1">
          <a:spLocks noChangeArrowheads="1"/>
        </xdr:cNvSpPr>
      </xdr:nvSpPr>
      <xdr:spPr>
        <a:xfrm>
          <a:off x="1057275" y="116586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36</xdr:row>
      <xdr:rowOff>0</xdr:rowOff>
    </xdr:from>
    <xdr:ext cx="104775" cy="47625"/>
    <xdr:sp fLocksText="0">
      <xdr:nvSpPr>
        <xdr:cNvPr id="313" name="Text Box 1"/>
        <xdr:cNvSpPr txBox="1">
          <a:spLocks noChangeArrowheads="1"/>
        </xdr:cNvSpPr>
      </xdr:nvSpPr>
      <xdr:spPr>
        <a:xfrm>
          <a:off x="1057275" y="116586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36</xdr:row>
      <xdr:rowOff>0</xdr:rowOff>
    </xdr:from>
    <xdr:ext cx="104775" cy="47625"/>
    <xdr:sp fLocksText="0">
      <xdr:nvSpPr>
        <xdr:cNvPr id="314" name="Text Box 4"/>
        <xdr:cNvSpPr txBox="1">
          <a:spLocks noChangeArrowheads="1"/>
        </xdr:cNvSpPr>
      </xdr:nvSpPr>
      <xdr:spPr>
        <a:xfrm>
          <a:off x="1057275" y="116586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315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316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317" name="Text Box 1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0</xdr:row>
      <xdr:rowOff>0</xdr:rowOff>
    </xdr:from>
    <xdr:ext cx="104775" cy="47625"/>
    <xdr:sp fLocksText="0">
      <xdr:nvSpPr>
        <xdr:cNvPr id="318" name="Text Box 4"/>
        <xdr:cNvSpPr txBox="1">
          <a:spLocks noChangeArrowheads="1"/>
        </xdr:cNvSpPr>
      </xdr:nvSpPr>
      <xdr:spPr>
        <a:xfrm>
          <a:off x="1057275" y="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04775" cy="57150"/>
    <xdr:sp fLocksText="0">
      <xdr:nvSpPr>
        <xdr:cNvPr id="319" name="Text Box 1"/>
        <xdr:cNvSpPr txBox="1">
          <a:spLocks noChangeArrowheads="1"/>
        </xdr:cNvSpPr>
      </xdr:nvSpPr>
      <xdr:spPr>
        <a:xfrm>
          <a:off x="371475" y="119824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20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21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22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23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76200" cy="95250"/>
    <xdr:sp fLocksText="0">
      <xdr:nvSpPr>
        <xdr:cNvPr id="324" name="Text Box 1"/>
        <xdr:cNvSpPr txBox="1">
          <a:spLocks noChangeArrowheads="1"/>
        </xdr:cNvSpPr>
      </xdr:nvSpPr>
      <xdr:spPr>
        <a:xfrm>
          <a:off x="371475" y="119824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76200" cy="95250"/>
    <xdr:sp fLocksText="0">
      <xdr:nvSpPr>
        <xdr:cNvPr id="325" name="Text Box 4"/>
        <xdr:cNvSpPr txBox="1">
          <a:spLocks noChangeArrowheads="1"/>
        </xdr:cNvSpPr>
      </xdr:nvSpPr>
      <xdr:spPr>
        <a:xfrm>
          <a:off x="371475" y="119824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26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27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28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29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30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31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32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33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34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35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36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37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38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39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40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41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42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43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44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45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46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47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48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49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76200" cy="85725"/>
    <xdr:sp fLocksText="0">
      <xdr:nvSpPr>
        <xdr:cNvPr id="350" name="Text Box 1"/>
        <xdr:cNvSpPr txBox="1">
          <a:spLocks noChangeArrowheads="1"/>
        </xdr:cNvSpPr>
      </xdr:nvSpPr>
      <xdr:spPr>
        <a:xfrm>
          <a:off x="371475" y="119824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76200" cy="95250"/>
    <xdr:sp fLocksText="0">
      <xdr:nvSpPr>
        <xdr:cNvPr id="351" name="Text Box 4"/>
        <xdr:cNvSpPr txBox="1">
          <a:spLocks noChangeArrowheads="1"/>
        </xdr:cNvSpPr>
      </xdr:nvSpPr>
      <xdr:spPr>
        <a:xfrm>
          <a:off x="371475" y="119824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52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53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54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55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56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57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58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59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60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61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62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63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64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65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66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67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68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69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70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71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72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73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74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75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76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77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78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79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80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81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82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83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384" name="Text Box 1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385" name="Text Box 2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386" name="Text Box 1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387" name="Text Box 2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57150"/>
    <xdr:sp fLocksText="0">
      <xdr:nvSpPr>
        <xdr:cNvPr id="388" name="Text Box 1"/>
        <xdr:cNvSpPr txBox="1">
          <a:spLocks noChangeArrowheads="1"/>
        </xdr:cNvSpPr>
      </xdr:nvSpPr>
      <xdr:spPr>
        <a:xfrm>
          <a:off x="371475" y="119824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57150"/>
    <xdr:sp fLocksText="0">
      <xdr:nvSpPr>
        <xdr:cNvPr id="389" name="Text Box 2"/>
        <xdr:cNvSpPr txBox="1">
          <a:spLocks noChangeArrowheads="1"/>
        </xdr:cNvSpPr>
      </xdr:nvSpPr>
      <xdr:spPr>
        <a:xfrm>
          <a:off x="371475" y="119824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390" name="Text Box 1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391" name="Text Box 2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392" name="Text Box 1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393" name="Text Box 2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94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95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96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97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98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399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00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01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02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03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04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05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06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07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08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09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10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11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12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13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14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15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16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17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18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19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20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21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22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23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24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25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26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27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28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29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76200"/>
    <xdr:sp fLocksText="0">
      <xdr:nvSpPr>
        <xdr:cNvPr id="430" name="Text Box 1"/>
        <xdr:cNvSpPr txBox="1">
          <a:spLocks noChangeArrowheads="1"/>
        </xdr:cNvSpPr>
      </xdr:nvSpPr>
      <xdr:spPr>
        <a:xfrm>
          <a:off x="371475" y="119824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76200"/>
    <xdr:sp fLocksText="0">
      <xdr:nvSpPr>
        <xdr:cNvPr id="431" name="Text Box 2"/>
        <xdr:cNvSpPr txBox="1">
          <a:spLocks noChangeArrowheads="1"/>
        </xdr:cNvSpPr>
      </xdr:nvSpPr>
      <xdr:spPr>
        <a:xfrm>
          <a:off x="371475" y="119824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432" name="Text Box 1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433" name="Text Box 2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434" name="Text Box 1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435" name="Text Box 2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436" name="Text Box 1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437" name="Text Box 2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438" name="Text Box 1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439" name="Text Box 2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40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41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42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43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76200" cy="47625"/>
    <xdr:sp fLocksText="0">
      <xdr:nvSpPr>
        <xdr:cNvPr id="444" name="Text Box 1"/>
        <xdr:cNvSpPr txBox="1">
          <a:spLocks noChangeArrowheads="1"/>
        </xdr:cNvSpPr>
      </xdr:nvSpPr>
      <xdr:spPr>
        <a:xfrm>
          <a:off x="371475" y="11982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76200" cy="47625"/>
    <xdr:sp fLocksText="0">
      <xdr:nvSpPr>
        <xdr:cNvPr id="445" name="Text Box 4"/>
        <xdr:cNvSpPr txBox="1">
          <a:spLocks noChangeArrowheads="1"/>
        </xdr:cNvSpPr>
      </xdr:nvSpPr>
      <xdr:spPr>
        <a:xfrm>
          <a:off x="371475" y="11982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46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47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48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49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50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51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52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53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54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55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56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57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58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59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60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61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62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63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64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65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66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67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68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69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70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71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72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73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74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75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76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77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78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79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80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81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82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83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84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85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86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87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88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89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90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91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92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93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94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95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96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97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98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499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00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01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02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03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04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05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06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07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08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09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510" name="Text Box 1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511" name="Text Box 2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512" name="Text Box 1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513" name="Text Box 2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57150"/>
    <xdr:sp fLocksText="0">
      <xdr:nvSpPr>
        <xdr:cNvPr id="514" name="Text Box 1"/>
        <xdr:cNvSpPr txBox="1">
          <a:spLocks noChangeArrowheads="1"/>
        </xdr:cNvSpPr>
      </xdr:nvSpPr>
      <xdr:spPr>
        <a:xfrm>
          <a:off x="371475" y="119824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57150"/>
    <xdr:sp fLocksText="0">
      <xdr:nvSpPr>
        <xdr:cNvPr id="515" name="Text Box 2"/>
        <xdr:cNvSpPr txBox="1">
          <a:spLocks noChangeArrowheads="1"/>
        </xdr:cNvSpPr>
      </xdr:nvSpPr>
      <xdr:spPr>
        <a:xfrm>
          <a:off x="371475" y="119824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516" name="Text Box 1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517" name="Text Box 2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518" name="Text Box 1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519" name="Text Box 2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20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21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22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23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24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25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26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27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28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29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30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31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76200" cy="47625"/>
    <xdr:sp fLocksText="0">
      <xdr:nvSpPr>
        <xdr:cNvPr id="532" name="Text Box 1"/>
        <xdr:cNvSpPr txBox="1">
          <a:spLocks noChangeArrowheads="1"/>
        </xdr:cNvSpPr>
      </xdr:nvSpPr>
      <xdr:spPr>
        <a:xfrm>
          <a:off x="371475" y="11982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76200" cy="47625"/>
    <xdr:sp fLocksText="0">
      <xdr:nvSpPr>
        <xdr:cNvPr id="533" name="Text Box 4"/>
        <xdr:cNvSpPr txBox="1">
          <a:spLocks noChangeArrowheads="1"/>
        </xdr:cNvSpPr>
      </xdr:nvSpPr>
      <xdr:spPr>
        <a:xfrm>
          <a:off x="371475" y="11982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34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35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36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37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38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39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40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41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42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43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44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45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46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47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48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49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50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51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52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53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54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55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56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57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58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59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60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61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104775" cy="47625"/>
    <xdr:sp fLocksText="0">
      <xdr:nvSpPr>
        <xdr:cNvPr id="562" name="Text Box 1"/>
        <xdr:cNvSpPr txBox="1">
          <a:spLocks noChangeArrowheads="1"/>
        </xdr:cNvSpPr>
      </xdr:nvSpPr>
      <xdr:spPr>
        <a:xfrm>
          <a:off x="1057275" y="246411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104775" cy="47625"/>
    <xdr:sp fLocksText="0">
      <xdr:nvSpPr>
        <xdr:cNvPr id="563" name="Text Box 4"/>
        <xdr:cNvSpPr txBox="1">
          <a:spLocks noChangeArrowheads="1"/>
        </xdr:cNvSpPr>
      </xdr:nvSpPr>
      <xdr:spPr>
        <a:xfrm>
          <a:off x="1057275" y="246411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104775" cy="47625"/>
    <xdr:sp fLocksText="0">
      <xdr:nvSpPr>
        <xdr:cNvPr id="564" name="Text Box 1"/>
        <xdr:cNvSpPr txBox="1">
          <a:spLocks noChangeArrowheads="1"/>
        </xdr:cNvSpPr>
      </xdr:nvSpPr>
      <xdr:spPr>
        <a:xfrm>
          <a:off x="1057275" y="246411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104775" cy="47625"/>
    <xdr:sp fLocksText="0">
      <xdr:nvSpPr>
        <xdr:cNvPr id="565" name="Text Box 4"/>
        <xdr:cNvSpPr txBox="1">
          <a:spLocks noChangeArrowheads="1"/>
        </xdr:cNvSpPr>
      </xdr:nvSpPr>
      <xdr:spPr>
        <a:xfrm>
          <a:off x="1057275" y="246411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104775" cy="47625"/>
    <xdr:sp fLocksText="0">
      <xdr:nvSpPr>
        <xdr:cNvPr id="566" name="Text Box 1"/>
        <xdr:cNvSpPr txBox="1">
          <a:spLocks noChangeArrowheads="1"/>
        </xdr:cNvSpPr>
      </xdr:nvSpPr>
      <xdr:spPr>
        <a:xfrm>
          <a:off x="1057275" y="246411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104775" cy="47625"/>
    <xdr:sp fLocksText="0">
      <xdr:nvSpPr>
        <xdr:cNvPr id="567" name="Text Box 4"/>
        <xdr:cNvSpPr txBox="1">
          <a:spLocks noChangeArrowheads="1"/>
        </xdr:cNvSpPr>
      </xdr:nvSpPr>
      <xdr:spPr>
        <a:xfrm>
          <a:off x="1057275" y="246411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104775" cy="47625"/>
    <xdr:sp fLocksText="0">
      <xdr:nvSpPr>
        <xdr:cNvPr id="568" name="Text Box 1"/>
        <xdr:cNvSpPr txBox="1">
          <a:spLocks noChangeArrowheads="1"/>
        </xdr:cNvSpPr>
      </xdr:nvSpPr>
      <xdr:spPr>
        <a:xfrm>
          <a:off x="1057275" y="246411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104775" cy="47625"/>
    <xdr:sp fLocksText="0">
      <xdr:nvSpPr>
        <xdr:cNvPr id="569" name="Text Box 4"/>
        <xdr:cNvSpPr txBox="1">
          <a:spLocks noChangeArrowheads="1"/>
        </xdr:cNvSpPr>
      </xdr:nvSpPr>
      <xdr:spPr>
        <a:xfrm>
          <a:off x="1057275" y="246411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104775" cy="47625"/>
    <xdr:sp fLocksText="0">
      <xdr:nvSpPr>
        <xdr:cNvPr id="570" name="Text Box 1"/>
        <xdr:cNvSpPr txBox="1">
          <a:spLocks noChangeArrowheads="1"/>
        </xdr:cNvSpPr>
      </xdr:nvSpPr>
      <xdr:spPr>
        <a:xfrm>
          <a:off x="1057275" y="246411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104775" cy="47625"/>
    <xdr:sp fLocksText="0">
      <xdr:nvSpPr>
        <xdr:cNvPr id="571" name="Text Box 4"/>
        <xdr:cNvSpPr txBox="1">
          <a:spLocks noChangeArrowheads="1"/>
        </xdr:cNvSpPr>
      </xdr:nvSpPr>
      <xdr:spPr>
        <a:xfrm>
          <a:off x="1057275" y="246411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104775" cy="47625"/>
    <xdr:sp fLocksText="0">
      <xdr:nvSpPr>
        <xdr:cNvPr id="572" name="Text Box 1"/>
        <xdr:cNvSpPr txBox="1">
          <a:spLocks noChangeArrowheads="1"/>
        </xdr:cNvSpPr>
      </xdr:nvSpPr>
      <xdr:spPr>
        <a:xfrm>
          <a:off x="1057275" y="246411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104775" cy="47625"/>
    <xdr:sp fLocksText="0">
      <xdr:nvSpPr>
        <xdr:cNvPr id="573" name="Text Box 4"/>
        <xdr:cNvSpPr txBox="1">
          <a:spLocks noChangeArrowheads="1"/>
        </xdr:cNvSpPr>
      </xdr:nvSpPr>
      <xdr:spPr>
        <a:xfrm>
          <a:off x="1057275" y="246411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38</xdr:row>
      <xdr:rowOff>0</xdr:rowOff>
    </xdr:from>
    <xdr:ext cx="104775" cy="38100"/>
    <xdr:sp fLocksText="0">
      <xdr:nvSpPr>
        <xdr:cNvPr id="574" name="Text Box 1"/>
        <xdr:cNvSpPr txBox="1">
          <a:spLocks noChangeArrowheads="1"/>
        </xdr:cNvSpPr>
      </xdr:nvSpPr>
      <xdr:spPr>
        <a:xfrm>
          <a:off x="1057275" y="1229677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38</xdr:row>
      <xdr:rowOff>0</xdr:rowOff>
    </xdr:from>
    <xdr:ext cx="104775" cy="38100"/>
    <xdr:sp fLocksText="0">
      <xdr:nvSpPr>
        <xdr:cNvPr id="575" name="Text Box 4"/>
        <xdr:cNvSpPr txBox="1">
          <a:spLocks noChangeArrowheads="1"/>
        </xdr:cNvSpPr>
      </xdr:nvSpPr>
      <xdr:spPr>
        <a:xfrm>
          <a:off x="1057275" y="1229677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38</xdr:row>
      <xdr:rowOff>0</xdr:rowOff>
    </xdr:from>
    <xdr:ext cx="104775" cy="38100"/>
    <xdr:sp fLocksText="0">
      <xdr:nvSpPr>
        <xdr:cNvPr id="576" name="Text Box 1"/>
        <xdr:cNvSpPr txBox="1">
          <a:spLocks noChangeArrowheads="1"/>
        </xdr:cNvSpPr>
      </xdr:nvSpPr>
      <xdr:spPr>
        <a:xfrm>
          <a:off x="1057275" y="1229677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38</xdr:row>
      <xdr:rowOff>0</xdr:rowOff>
    </xdr:from>
    <xdr:ext cx="104775" cy="38100"/>
    <xdr:sp fLocksText="0">
      <xdr:nvSpPr>
        <xdr:cNvPr id="577" name="Text Box 4"/>
        <xdr:cNvSpPr txBox="1">
          <a:spLocks noChangeArrowheads="1"/>
        </xdr:cNvSpPr>
      </xdr:nvSpPr>
      <xdr:spPr>
        <a:xfrm>
          <a:off x="1057275" y="1229677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38</xdr:row>
      <xdr:rowOff>0</xdr:rowOff>
    </xdr:from>
    <xdr:ext cx="104775" cy="38100"/>
    <xdr:sp fLocksText="0">
      <xdr:nvSpPr>
        <xdr:cNvPr id="578" name="Text Box 1"/>
        <xdr:cNvSpPr txBox="1">
          <a:spLocks noChangeArrowheads="1"/>
        </xdr:cNvSpPr>
      </xdr:nvSpPr>
      <xdr:spPr>
        <a:xfrm>
          <a:off x="1057275" y="1229677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38</xdr:row>
      <xdr:rowOff>0</xdr:rowOff>
    </xdr:from>
    <xdr:ext cx="104775" cy="38100"/>
    <xdr:sp fLocksText="0">
      <xdr:nvSpPr>
        <xdr:cNvPr id="579" name="Text Box 4"/>
        <xdr:cNvSpPr txBox="1">
          <a:spLocks noChangeArrowheads="1"/>
        </xdr:cNvSpPr>
      </xdr:nvSpPr>
      <xdr:spPr>
        <a:xfrm>
          <a:off x="1057275" y="1229677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38</xdr:row>
      <xdr:rowOff>0</xdr:rowOff>
    </xdr:from>
    <xdr:ext cx="104775" cy="38100"/>
    <xdr:sp fLocksText="0">
      <xdr:nvSpPr>
        <xdr:cNvPr id="580" name="Text Box 1"/>
        <xdr:cNvSpPr txBox="1">
          <a:spLocks noChangeArrowheads="1"/>
        </xdr:cNvSpPr>
      </xdr:nvSpPr>
      <xdr:spPr>
        <a:xfrm>
          <a:off x="1057275" y="1229677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38</xdr:row>
      <xdr:rowOff>0</xdr:rowOff>
    </xdr:from>
    <xdr:ext cx="104775" cy="38100"/>
    <xdr:sp fLocksText="0">
      <xdr:nvSpPr>
        <xdr:cNvPr id="581" name="Text Box 4"/>
        <xdr:cNvSpPr txBox="1">
          <a:spLocks noChangeArrowheads="1"/>
        </xdr:cNvSpPr>
      </xdr:nvSpPr>
      <xdr:spPr>
        <a:xfrm>
          <a:off x="1057275" y="1229677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04775" cy="57150"/>
    <xdr:sp fLocksText="0">
      <xdr:nvSpPr>
        <xdr:cNvPr id="582" name="Text Box 1"/>
        <xdr:cNvSpPr txBox="1">
          <a:spLocks noChangeArrowheads="1"/>
        </xdr:cNvSpPr>
      </xdr:nvSpPr>
      <xdr:spPr>
        <a:xfrm>
          <a:off x="371475" y="119824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83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84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85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86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76200" cy="95250"/>
    <xdr:sp fLocksText="0">
      <xdr:nvSpPr>
        <xdr:cNvPr id="587" name="Text Box 1"/>
        <xdr:cNvSpPr txBox="1">
          <a:spLocks noChangeArrowheads="1"/>
        </xdr:cNvSpPr>
      </xdr:nvSpPr>
      <xdr:spPr>
        <a:xfrm>
          <a:off x="371475" y="119824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76200" cy="95250"/>
    <xdr:sp fLocksText="0">
      <xdr:nvSpPr>
        <xdr:cNvPr id="588" name="Text Box 4"/>
        <xdr:cNvSpPr txBox="1">
          <a:spLocks noChangeArrowheads="1"/>
        </xdr:cNvSpPr>
      </xdr:nvSpPr>
      <xdr:spPr>
        <a:xfrm>
          <a:off x="371475" y="119824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89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90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91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92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93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94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95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96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97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98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599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00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01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02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03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04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05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06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07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08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09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10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11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12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76200" cy="85725"/>
    <xdr:sp fLocksText="0">
      <xdr:nvSpPr>
        <xdr:cNvPr id="613" name="Text Box 1"/>
        <xdr:cNvSpPr txBox="1">
          <a:spLocks noChangeArrowheads="1"/>
        </xdr:cNvSpPr>
      </xdr:nvSpPr>
      <xdr:spPr>
        <a:xfrm>
          <a:off x="371475" y="119824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76200" cy="95250"/>
    <xdr:sp fLocksText="0">
      <xdr:nvSpPr>
        <xdr:cNvPr id="614" name="Text Box 4"/>
        <xdr:cNvSpPr txBox="1">
          <a:spLocks noChangeArrowheads="1"/>
        </xdr:cNvSpPr>
      </xdr:nvSpPr>
      <xdr:spPr>
        <a:xfrm>
          <a:off x="371475" y="119824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15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16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17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18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19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20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21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22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23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24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25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26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27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28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29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30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31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32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33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34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35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36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37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38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39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40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41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42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43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44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45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46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647" name="Text Box 1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648" name="Text Box 2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649" name="Text Box 1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650" name="Text Box 2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57150"/>
    <xdr:sp fLocksText="0">
      <xdr:nvSpPr>
        <xdr:cNvPr id="651" name="Text Box 1"/>
        <xdr:cNvSpPr txBox="1">
          <a:spLocks noChangeArrowheads="1"/>
        </xdr:cNvSpPr>
      </xdr:nvSpPr>
      <xdr:spPr>
        <a:xfrm>
          <a:off x="371475" y="119824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57150"/>
    <xdr:sp fLocksText="0">
      <xdr:nvSpPr>
        <xdr:cNvPr id="652" name="Text Box 2"/>
        <xdr:cNvSpPr txBox="1">
          <a:spLocks noChangeArrowheads="1"/>
        </xdr:cNvSpPr>
      </xdr:nvSpPr>
      <xdr:spPr>
        <a:xfrm>
          <a:off x="371475" y="119824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653" name="Text Box 1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654" name="Text Box 2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655" name="Text Box 1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656" name="Text Box 2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57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58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59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60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61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62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63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64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65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66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67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68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69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70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71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72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73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74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75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76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77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78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79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80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81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82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83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84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85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86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87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88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89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90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91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692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76200"/>
    <xdr:sp fLocksText="0">
      <xdr:nvSpPr>
        <xdr:cNvPr id="693" name="Text Box 1"/>
        <xdr:cNvSpPr txBox="1">
          <a:spLocks noChangeArrowheads="1"/>
        </xdr:cNvSpPr>
      </xdr:nvSpPr>
      <xdr:spPr>
        <a:xfrm>
          <a:off x="371475" y="119824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76200"/>
    <xdr:sp fLocksText="0">
      <xdr:nvSpPr>
        <xdr:cNvPr id="694" name="Text Box 2"/>
        <xdr:cNvSpPr txBox="1">
          <a:spLocks noChangeArrowheads="1"/>
        </xdr:cNvSpPr>
      </xdr:nvSpPr>
      <xdr:spPr>
        <a:xfrm>
          <a:off x="371475" y="119824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695" name="Text Box 1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696" name="Text Box 2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697" name="Text Box 1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698" name="Text Box 2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699" name="Text Box 1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700" name="Text Box 2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701" name="Text Box 1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702" name="Text Box 2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03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04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05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06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76200" cy="47625"/>
    <xdr:sp fLocksText="0">
      <xdr:nvSpPr>
        <xdr:cNvPr id="707" name="Text Box 1"/>
        <xdr:cNvSpPr txBox="1">
          <a:spLocks noChangeArrowheads="1"/>
        </xdr:cNvSpPr>
      </xdr:nvSpPr>
      <xdr:spPr>
        <a:xfrm>
          <a:off x="371475" y="11982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76200" cy="47625"/>
    <xdr:sp fLocksText="0">
      <xdr:nvSpPr>
        <xdr:cNvPr id="708" name="Text Box 4"/>
        <xdr:cNvSpPr txBox="1">
          <a:spLocks noChangeArrowheads="1"/>
        </xdr:cNvSpPr>
      </xdr:nvSpPr>
      <xdr:spPr>
        <a:xfrm>
          <a:off x="371475" y="11982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09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10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11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12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13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14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15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16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17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18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19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20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21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22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23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24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25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26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27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28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29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30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31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32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33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34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35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36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37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38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39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40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41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42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43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44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45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46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47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48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49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50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51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52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53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54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55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56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57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58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59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60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61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62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63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64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65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66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67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68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69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70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71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72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773" name="Text Box 1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774" name="Text Box 2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775" name="Text Box 1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776" name="Text Box 2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57150"/>
    <xdr:sp fLocksText="0">
      <xdr:nvSpPr>
        <xdr:cNvPr id="777" name="Text Box 1"/>
        <xdr:cNvSpPr txBox="1">
          <a:spLocks noChangeArrowheads="1"/>
        </xdr:cNvSpPr>
      </xdr:nvSpPr>
      <xdr:spPr>
        <a:xfrm>
          <a:off x="371475" y="119824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57150"/>
    <xdr:sp fLocksText="0">
      <xdr:nvSpPr>
        <xdr:cNvPr id="778" name="Text Box 2"/>
        <xdr:cNvSpPr txBox="1">
          <a:spLocks noChangeArrowheads="1"/>
        </xdr:cNvSpPr>
      </xdr:nvSpPr>
      <xdr:spPr>
        <a:xfrm>
          <a:off x="371475" y="119824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779" name="Text Box 1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780" name="Text Box 2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781" name="Text Box 1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95250" cy="66675"/>
    <xdr:sp fLocksText="0">
      <xdr:nvSpPr>
        <xdr:cNvPr id="782" name="Text Box 2"/>
        <xdr:cNvSpPr txBox="1">
          <a:spLocks noChangeArrowheads="1"/>
        </xdr:cNvSpPr>
      </xdr:nvSpPr>
      <xdr:spPr>
        <a:xfrm>
          <a:off x="371475" y="119824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83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84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85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86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87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88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89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90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91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92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93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94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76200" cy="47625"/>
    <xdr:sp fLocksText="0">
      <xdr:nvSpPr>
        <xdr:cNvPr id="795" name="Text Box 1"/>
        <xdr:cNvSpPr txBox="1">
          <a:spLocks noChangeArrowheads="1"/>
        </xdr:cNvSpPr>
      </xdr:nvSpPr>
      <xdr:spPr>
        <a:xfrm>
          <a:off x="371475" y="11982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76200" cy="47625"/>
    <xdr:sp fLocksText="0">
      <xdr:nvSpPr>
        <xdr:cNvPr id="796" name="Text Box 4"/>
        <xdr:cNvSpPr txBox="1">
          <a:spLocks noChangeArrowheads="1"/>
        </xdr:cNvSpPr>
      </xdr:nvSpPr>
      <xdr:spPr>
        <a:xfrm>
          <a:off x="371475" y="11982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97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98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799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800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801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802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803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804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805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806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807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808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809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810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811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812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813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814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815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816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817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818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819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820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821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822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823" name="Text Box 1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37</xdr:row>
      <xdr:rowOff>0</xdr:rowOff>
    </xdr:from>
    <xdr:ext cx="104775" cy="47625"/>
    <xdr:sp fLocksText="0">
      <xdr:nvSpPr>
        <xdr:cNvPr id="824" name="Text Box 4"/>
        <xdr:cNvSpPr txBox="1">
          <a:spLocks noChangeArrowheads="1"/>
        </xdr:cNvSpPr>
      </xdr:nvSpPr>
      <xdr:spPr>
        <a:xfrm>
          <a:off x="1057275" y="119824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104775" cy="47625"/>
    <xdr:sp fLocksText="0">
      <xdr:nvSpPr>
        <xdr:cNvPr id="825" name="Text Box 1"/>
        <xdr:cNvSpPr txBox="1">
          <a:spLocks noChangeArrowheads="1"/>
        </xdr:cNvSpPr>
      </xdr:nvSpPr>
      <xdr:spPr>
        <a:xfrm>
          <a:off x="1057275" y="246411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104775" cy="47625"/>
    <xdr:sp fLocksText="0">
      <xdr:nvSpPr>
        <xdr:cNvPr id="826" name="Text Box 4"/>
        <xdr:cNvSpPr txBox="1">
          <a:spLocks noChangeArrowheads="1"/>
        </xdr:cNvSpPr>
      </xdr:nvSpPr>
      <xdr:spPr>
        <a:xfrm>
          <a:off x="1057275" y="246411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104775" cy="47625"/>
    <xdr:sp fLocksText="0">
      <xdr:nvSpPr>
        <xdr:cNvPr id="827" name="Text Box 1"/>
        <xdr:cNvSpPr txBox="1">
          <a:spLocks noChangeArrowheads="1"/>
        </xdr:cNvSpPr>
      </xdr:nvSpPr>
      <xdr:spPr>
        <a:xfrm>
          <a:off x="1057275" y="246411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104775" cy="47625"/>
    <xdr:sp fLocksText="0">
      <xdr:nvSpPr>
        <xdr:cNvPr id="828" name="Text Box 4"/>
        <xdr:cNvSpPr txBox="1">
          <a:spLocks noChangeArrowheads="1"/>
        </xdr:cNvSpPr>
      </xdr:nvSpPr>
      <xdr:spPr>
        <a:xfrm>
          <a:off x="1057275" y="246411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104775" cy="47625"/>
    <xdr:sp fLocksText="0">
      <xdr:nvSpPr>
        <xdr:cNvPr id="829" name="Text Box 1"/>
        <xdr:cNvSpPr txBox="1">
          <a:spLocks noChangeArrowheads="1"/>
        </xdr:cNvSpPr>
      </xdr:nvSpPr>
      <xdr:spPr>
        <a:xfrm>
          <a:off x="1057275" y="246411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104775" cy="47625"/>
    <xdr:sp fLocksText="0">
      <xdr:nvSpPr>
        <xdr:cNvPr id="830" name="Text Box 4"/>
        <xdr:cNvSpPr txBox="1">
          <a:spLocks noChangeArrowheads="1"/>
        </xdr:cNvSpPr>
      </xdr:nvSpPr>
      <xdr:spPr>
        <a:xfrm>
          <a:off x="1057275" y="246411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104775" cy="47625"/>
    <xdr:sp fLocksText="0">
      <xdr:nvSpPr>
        <xdr:cNvPr id="831" name="Text Box 1"/>
        <xdr:cNvSpPr txBox="1">
          <a:spLocks noChangeArrowheads="1"/>
        </xdr:cNvSpPr>
      </xdr:nvSpPr>
      <xdr:spPr>
        <a:xfrm>
          <a:off x="1057275" y="246411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104775" cy="47625"/>
    <xdr:sp fLocksText="0">
      <xdr:nvSpPr>
        <xdr:cNvPr id="832" name="Text Box 4"/>
        <xdr:cNvSpPr txBox="1">
          <a:spLocks noChangeArrowheads="1"/>
        </xdr:cNvSpPr>
      </xdr:nvSpPr>
      <xdr:spPr>
        <a:xfrm>
          <a:off x="1057275" y="246411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104775" cy="47625"/>
    <xdr:sp fLocksText="0">
      <xdr:nvSpPr>
        <xdr:cNvPr id="833" name="Text Box 1"/>
        <xdr:cNvSpPr txBox="1">
          <a:spLocks noChangeArrowheads="1"/>
        </xdr:cNvSpPr>
      </xdr:nvSpPr>
      <xdr:spPr>
        <a:xfrm>
          <a:off x="1057275" y="246411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104775" cy="47625"/>
    <xdr:sp fLocksText="0">
      <xdr:nvSpPr>
        <xdr:cNvPr id="834" name="Text Box 4"/>
        <xdr:cNvSpPr txBox="1">
          <a:spLocks noChangeArrowheads="1"/>
        </xdr:cNvSpPr>
      </xdr:nvSpPr>
      <xdr:spPr>
        <a:xfrm>
          <a:off x="1057275" y="246411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104775" cy="47625"/>
    <xdr:sp fLocksText="0">
      <xdr:nvSpPr>
        <xdr:cNvPr id="835" name="Text Box 1"/>
        <xdr:cNvSpPr txBox="1">
          <a:spLocks noChangeArrowheads="1"/>
        </xdr:cNvSpPr>
      </xdr:nvSpPr>
      <xdr:spPr>
        <a:xfrm>
          <a:off x="1057275" y="246411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104775" cy="47625"/>
    <xdr:sp fLocksText="0">
      <xdr:nvSpPr>
        <xdr:cNvPr id="836" name="Text Box 4"/>
        <xdr:cNvSpPr txBox="1">
          <a:spLocks noChangeArrowheads="1"/>
        </xdr:cNvSpPr>
      </xdr:nvSpPr>
      <xdr:spPr>
        <a:xfrm>
          <a:off x="1057275" y="246411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81</xdr:row>
      <xdr:rowOff>0</xdr:rowOff>
    </xdr:from>
    <xdr:ext cx="104775" cy="47625"/>
    <xdr:sp fLocksText="0">
      <xdr:nvSpPr>
        <xdr:cNvPr id="837" name="Text Box 1"/>
        <xdr:cNvSpPr txBox="1">
          <a:spLocks noChangeArrowheads="1"/>
        </xdr:cNvSpPr>
      </xdr:nvSpPr>
      <xdr:spPr>
        <a:xfrm>
          <a:off x="1057275" y="24345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81</xdr:row>
      <xdr:rowOff>0</xdr:rowOff>
    </xdr:from>
    <xdr:ext cx="104775" cy="47625"/>
    <xdr:sp fLocksText="0">
      <xdr:nvSpPr>
        <xdr:cNvPr id="838" name="Text Box 4"/>
        <xdr:cNvSpPr txBox="1">
          <a:spLocks noChangeArrowheads="1"/>
        </xdr:cNvSpPr>
      </xdr:nvSpPr>
      <xdr:spPr>
        <a:xfrm>
          <a:off x="1057275" y="24345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81</xdr:row>
      <xdr:rowOff>0</xdr:rowOff>
    </xdr:from>
    <xdr:ext cx="104775" cy="47625"/>
    <xdr:sp fLocksText="0">
      <xdr:nvSpPr>
        <xdr:cNvPr id="839" name="Text Box 1"/>
        <xdr:cNvSpPr txBox="1">
          <a:spLocks noChangeArrowheads="1"/>
        </xdr:cNvSpPr>
      </xdr:nvSpPr>
      <xdr:spPr>
        <a:xfrm>
          <a:off x="1057275" y="24345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81</xdr:row>
      <xdr:rowOff>0</xdr:rowOff>
    </xdr:from>
    <xdr:ext cx="104775" cy="47625"/>
    <xdr:sp fLocksText="0">
      <xdr:nvSpPr>
        <xdr:cNvPr id="840" name="Text Box 4"/>
        <xdr:cNvSpPr txBox="1">
          <a:spLocks noChangeArrowheads="1"/>
        </xdr:cNvSpPr>
      </xdr:nvSpPr>
      <xdr:spPr>
        <a:xfrm>
          <a:off x="1057275" y="24345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81</xdr:row>
      <xdr:rowOff>0</xdr:rowOff>
    </xdr:from>
    <xdr:ext cx="104775" cy="47625"/>
    <xdr:sp fLocksText="0">
      <xdr:nvSpPr>
        <xdr:cNvPr id="841" name="Text Box 1"/>
        <xdr:cNvSpPr txBox="1">
          <a:spLocks noChangeArrowheads="1"/>
        </xdr:cNvSpPr>
      </xdr:nvSpPr>
      <xdr:spPr>
        <a:xfrm>
          <a:off x="1057275" y="24345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81</xdr:row>
      <xdr:rowOff>0</xdr:rowOff>
    </xdr:from>
    <xdr:ext cx="104775" cy="47625"/>
    <xdr:sp fLocksText="0">
      <xdr:nvSpPr>
        <xdr:cNvPr id="842" name="Text Box 4"/>
        <xdr:cNvSpPr txBox="1">
          <a:spLocks noChangeArrowheads="1"/>
        </xdr:cNvSpPr>
      </xdr:nvSpPr>
      <xdr:spPr>
        <a:xfrm>
          <a:off x="1057275" y="24345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81</xdr:row>
      <xdr:rowOff>0</xdr:rowOff>
    </xdr:from>
    <xdr:ext cx="104775" cy="47625"/>
    <xdr:sp fLocksText="0">
      <xdr:nvSpPr>
        <xdr:cNvPr id="843" name="Text Box 1"/>
        <xdr:cNvSpPr txBox="1">
          <a:spLocks noChangeArrowheads="1"/>
        </xdr:cNvSpPr>
      </xdr:nvSpPr>
      <xdr:spPr>
        <a:xfrm>
          <a:off x="1057275" y="24345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81</xdr:row>
      <xdr:rowOff>0</xdr:rowOff>
    </xdr:from>
    <xdr:ext cx="104775" cy="47625"/>
    <xdr:sp fLocksText="0">
      <xdr:nvSpPr>
        <xdr:cNvPr id="844" name="Text Box 4"/>
        <xdr:cNvSpPr txBox="1">
          <a:spLocks noChangeArrowheads="1"/>
        </xdr:cNvSpPr>
      </xdr:nvSpPr>
      <xdr:spPr>
        <a:xfrm>
          <a:off x="1057275" y="24345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81</xdr:row>
      <xdr:rowOff>0</xdr:rowOff>
    </xdr:from>
    <xdr:ext cx="104775" cy="47625"/>
    <xdr:sp fLocksText="0">
      <xdr:nvSpPr>
        <xdr:cNvPr id="845" name="Text Box 1"/>
        <xdr:cNvSpPr txBox="1">
          <a:spLocks noChangeArrowheads="1"/>
        </xdr:cNvSpPr>
      </xdr:nvSpPr>
      <xdr:spPr>
        <a:xfrm>
          <a:off x="1057275" y="24345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81</xdr:row>
      <xdr:rowOff>0</xdr:rowOff>
    </xdr:from>
    <xdr:ext cx="104775" cy="47625"/>
    <xdr:sp fLocksText="0">
      <xdr:nvSpPr>
        <xdr:cNvPr id="846" name="Text Box 4"/>
        <xdr:cNvSpPr txBox="1">
          <a:spLocks noChangeArrowheads="1"/>
        </xdr:cNvSpPr>
      </xdr:nvSpPr>
      <xdr:spPr>
        <a:xfrm>
          <a:off x="1057275" y="24345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81</xdr:row>
      <xdr:rowOff>0</xdr:rowOff>
    </xdr:from>
    <xdr:ext cx="104775" cy="47625"/>
    <xdr:sp fLocksText="0">
      <xdr:nvSpPr>
        <xdr:cNvPr id="847" name="Text Box 1"/>
        <xdr:cNvSpPr txBox="1">
          <a:spLocks noChangeArrowheads="1"/>
        </xdr:cNvSpPr>
      </xdr:nvSpPr>
      <xdr:spPr>
        <a:xfrm>
          <a:off x="1057275" y="24345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81</xdr:row>
      <xdr:rowOff>0</xdr:rowOff>
    </xdr:from>
    <xdr:ext cx="104775" cy="47625"/>
    <xdr:sp fLocksText="0">
      <xdr:nvSpPr>
        <xdr:cNvPr id="848" name="Text Box 4"/>
        <xdr:cNvSpPr txBox="1">
          <a:spLocks noChangeArrowheads="1"/>
        </xdr:cNvSpPr>
      </xdr:nvSpPr>
      <xdr:spPr>
        <a:xfrm>
          <a:off x="1057275" y="24345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81</xdr:row>
      <xdr:rowOff>0</xdr:rowOff>
    </xdr:from>
    <xdr:ext cx="104775" cy="47625"/>
    <xdr:sp fLocksText="0">
      <xdr:nvSpPr>
        <xdr:cNvPr id="849" name="Text Box 1"/>
        <xdr:cNvSpPr txBox="1">
          <a:spLocks noChangeArrowheads="1"/>
        </xdr:cNvSpPr>
      </xdr:nvSpPr>
      <xdr:spPr>
        <a:xfrm>
          <a:off x="1057275" y="24345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81</xdr:row>
      <xdr:rowOff>0</xdr:rowOff>
    </xdr:from>
    <xdr:ext cx="104775" cy="47625"/>
    <xdr:sp fLocksText="0">
      <xdr:nvSpPr>
        <xdr:cNvPr id="850" name="Text Box 4"/>
        <xdr:cNvSpPr txBox="1">
          <a:spLocks noChangeArrowheads="1"/>
        </xdr:cNvSpPr>
      </xdr:nvSpPr>
      <xdr:spPr>
        <a:xfrm>
          <a:off x="1057275" y="24345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81</xdr:row>
      <xdr:rowOff>0</xdr:rowOff>
    </xdr:from>
    <xdr:ext cx="104775" cy="47625"/>
    <xdr:sp fLocksText="0">
      <xdr:nvSpPr>
        <xdr:cNvPr id="851" name="Text Box 1"/>
        <xdr:cNvSpPr txBox="1">
          <a:spLocks noChangeArrowheads="1"/>
        </xdr:cNvSpPr>
      </xdr:nvSpPr>
      <xdr:spPr>
        <a:xfrm>
          <a:off x="1057275" y="24345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81</xdr:row>
      <xdr:rowOff>0</xdr:rowOff>
    </xdr:from>
    <xdr:ext cx="104775" cy="47625"/>
    <xdr:sp fLocksText="0">
      <xdr:nvSpPr>
        <xdr:cNvPr id="852" name="Text Box 4"/>
        <xdr:cNvSpPr txBox="1">
          <a:spLocks noChangeArrowheads="1"/>
        </xdr:cNvSpPr>
      </xdr:nvSpPr>
      <xdr:spPr>
        <a:xfrm>
          <a:off x="1057275" y="24345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81</xdr:row>
      <xdr:rowOff>0</xdr:rowOff>
    </xdr:from>
    <xdr:ext cx="104775" cy="47625"/>
    <xdr:sp fLocksText="0">
      <xdr:nvSpPr>
        <xdr:cNvPr id="853" name="Text Box 1"/>
        <xdr:cNvSpPr txBox="1">
          <a:spLocks noChangeArrowheads="1"/>
        </xdr:cNvSpPr>
      </xdr:nvSpPr>
      <xdr:spPr>
        <a:xfrm>
          <a:off x="1057275" y="24345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81</xdr:row>
      <xdr:rowOff>0</xdr:rowOff>
    </xdr:from>
    <xdr:ext cx="104775" cy="47625"/>
    <xdr:sp fLocksText="0">
      <xdr:nvSpPr>
        <xdr:cNvPr id="854" name="Text Box 4"/>
        <xdr:cNvSpPr txBox="1">
          <a:spLocks noChangeArrowheads="1"/>
        </xdr:cNvSpPr>
      </xdr:nvSpPr>
      <xdr:spPr>
        <a:xfrm>
          <a:off x="1057275" y="24345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81</xdr:row>
      <xdr:rowOff>0</xdr:rowOff>
    </xdr:from>
    <xdr:ext cx="104775" cy="47625"/>
    <xdr:sp fLocksText="0">
      <xdr:nvSpPr>
        <xdr:cNvPr id="855" name="Text Box 1"/>
        <xdr:cNvSpPr txBox="1">
          <a:spLocks noChangeArrowheads="1"/>
        </xdr:cNvSpPr>
      </xdr:nvSpPr>
      <xdr:spPr>
        <a:xfrm>
          <a:off x="1057275" y="24345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685800</xdr:colOff>
      <xdr:row>81</xdr:row>
      <xdr:rowOff>0</xdr:rowOff>
    </xdr:from>
    <xdr:ext cx="104775" cy="47625"/>
    <xdr:sp fLocksText="0">
      <xdr:nvSpPr>
        <xdr:cNvPr id="856" name="Text Box 4"/>
        <xdr:cNvSpPr txBox="1">
          <a:spLocks noChangeArrowheads="1"/>
        </xdr:cNvSpPr>
      </xdr:nvSpPr>
      <xdr:spPr>
        <a:xfrm>
          <a:off x="1057275" y="24345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657225</xdr:colOff>
      <xdr:row>2</xdr:row>
      <xdr:rowOff>0</xdr:rowOff>
    </xdr:from>
    <xdr:ext cx="104775" cy="47625"/>
    <xdr:sp fLocksText="0">
      <xdr:nvSpPr>
        <xdr:cNvPr id="1" name="Text Box 1"/>
        <xdr:cNvSpPr txBox="1">
          <a:spLocks noChangeArrowheads="1"/>
        </xdr:cNvSpPr>
      </xdr:nvSpPr>
      <xdr:spPr>
        <a:xfrm>
          <a:off x="1019175" y="7048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2</xdr:row>
      <xdr:rowOff>0</xdr:rowOff>
    </xdr:from>
    <xdr:ext cx="104775" cy="47625"/>
    <xdr:sp fLocksText="0">
      <xdr:nvSpPr>
        <xdr:cNvPr id="2" name="Text Box 4"/>
        <xdr:cNvSpPr txBox="1">
          <a:spLocks noChangeArrowheads="1"/>
        </xdr:cNvSpPr>
      </xdr:nvSpPr>
      <xdr:spPr>
        <a:xfrm>
          <a:off x="1019175" y="7048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2</xdr:row>
      <xdr:rowOff>0</xdr:rowOff>
    </xdr:from>
    <xdr:ext cx="104775" cy="47625"/>
    <xdr:sp fLocksText="0">
      <xdr:nvSpPr>
        <xdr:cNvPr id="3" name="Text Box 1"/>
        <xdr:cNvSpPr txBox="1">
          <a:spLocks noChangeArrowheads="1"/>
        </xdr:cNvSpPr>
      </xdr:nvSpPr>
      <xdr:spPr>
        <a:xfrm>
          <a:off x="1019175" y="7048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2</xdr:row>
      <xdr:rowOff>0</xdr:rowOff>
    </xdr:from>
    <xdr:ext cx="104775" cy="47625"/>
    <xdr:sp fLocksText="0">
      <xdr:nvSpPr>
        <xdr:cNvPr id="4" name="Text Box 4"/>
        <xdr:cNvSpPr txBox="1">
          <a:spLocks noChangeArrowheads="1"/>
        </xdr:cNvSpPr>
      </xdr:nvSpPr>
      <xdr:spPr>
        <a:xfrm>
          <a:off x="1019175" y="7048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3</xdr:row>
      <xdr:rowOff>0</xdr:rowOff>
    </xdr:from>
    <xdr:ext cx="104775" cy="47625"/>
    <xdr:sp fLocksText="0">
      <xdr:nvSpPr>
        <xdr:cNvPr id="5" name="Text Box 1"/>
        <xdr:cNvSpPr txBox="1">
          <a:spLocks noChangeArrowheads="1"/>
        </xdr:cNvSpPr>
      </xdr:nvSpPr>
      <xdr:spPr>
        <a:xfrm>
          <a:off x="1019175" y="1028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3</xdr:row>
      <xdr:rowOff>0</xdr:rowOff>
    </xdr:from>
    <xdr:ext cx="104775" cy="47625"/>
    <xdr:sp fLocksText="0">
      <xdr:nvSpPr>
        <xdr:cNvPr id="6" name="Text Box 4"/>
        <xdr:cNvSpPr txBox="1">
          <a:spLocks noChangeArrowheads="1"/>
        </xdr:cNvSpPr>
      </xdr:nvSpPr>
      <xdr:spPr>
        <a:xfrm>
          <a:off x="1019175" y="1028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3</xdr:row>
      <xdr:rowOff>0</xdr:rowOff>
    </xdr:from>
    <xdr:ext cx="104775" cy="47625"/>
    <xdr:sp fLocksText="0">
      <xdr:nvSpPr>
        <xdr:cNvPr id="7" name="Text Box 1"/>
        <xdr:cNvSpPr txBox="1">
          <a:spLocks noChangeArrowheads="1"/>
        </xdr:cNvSpPr>
      </xdr:nvSpPr>
      <xdr:spPr>
        <a:xfrm>
          <a:off x="1019175" y="1028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3</xdr:row>
      <xdr:rowOff>0</xdr:rowOff>
    </xdr:from>
    <xdr:ext cx="104775" cy="47625"/>
    <xdr:sp fLocksText="0">
      <xdr:nvSpPr>
        <xdr:cNvPr id="8" name="Text Box 4"/>
        <xdr:cNvSpPr txBox="1">
          <a:spLocks noChangeArrowheads="1"/>
        </xdr:cNvSpPr>
      </xdr:nvSpPr>
      <xdr:spPr>
        <a:xfrm>
          <a:off x="1019175" y="10287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37</xdr:row>
      <xdr:rowOff>0</xdr:rowOff>
    </xdr:from>
    <xdr:ext cx="104775" cy="47625"/>
    <xdr:sp fLocksText="0">
      <xdr:nvSpPr>
        <xdr:cNvPr id="9" name="Text Box 1"/>
        <xdr:cNvSpPr txBox="1">
          <a:spLocks noChangeArrowheads="1"/>
        </xdr:cNvSpPr>
      </xdr:nvSpPr>
      <xdr:spPr>
        <a:xfrm>
          <a:off x="1019175" y="121062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37</xdr:row>
      <xdr:rowOff>0</xdr:rowOff>
    </xdr:from>
    <xdr:ext cx="104775" cy="47625"/>
    <xdr:sp fLocksText="0">
      <xdr:nvSpPr>
        <xdr:cNvPr id="10" name="Text Box 4"/>
        <xdr:cNvSpPr txBox="1">
          <a:spLocks noChangeArrowheads="1"/>
        </xdr:cNvSpPr>
      </xdr:nvSpPr>
      <xdr:spPr>
        <a:xfrm>
          <a:off x="1019175" y="121062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37</xdr:row>
      <xdr:rowOff>0</xdr:rowOff>
    </xdr:from>
    <xdr:ext cx="104775" cy="47625"/>
    <xdr:sp fLocksText="0">
      <xdr:nvSpPr>
        <xdr:cNvPr id="11" name="Text Box 1"/>
        <xdr:cNvSpPr txBox="1">
          <a:spLocks noChangeArrowheads="1"/>
        </xdr:cNvSpPr>
      </xdr:nvSpPr>
      <xdr:spPr>
        <a:xfrm>
          <a:off x="1019175" y="121062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37</xdr:row>
      <xdr:rowOff>0</xdr:rowOff>
    </xdr:from>
    <xdr:ext cx="104775" cy="47625"/>
    <xdr:sp fLocksText="0">
      <xdr:nvSpPr>
        <xdr:cNvPr id="12" name="Text Box 4"/>
        <xdr:cNvSpPr txBox="1">
          <a:spLocks noChangeArrowheads="1"/>
        </xdr:cNvSpPr>
      </xdr:nvSpPr>
      <xdr:spPr>
        <a:xfrm>
          <a:off x="1019175" y="121062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37</xdr:row>
      <xdr:rowOff>0</xdr:rowOff>
    </xdr:from>
    <xdr:ext cx="104775" cy="47625"/>
    <xdr:sp fLocksText="0">
      <xdr:nvSpPr>
        <xdr:cNvPr id="13" name="Text Box 1"/>
        <xdr:cNvSpPr txBox="1">
          <a:spLocks noChangeArrowheads="1"/>
        </xdr:cNvSpPr>
      </xdr:nvSpPr>
      <xdr:spPr>
        <a:xfrm>
          <a:off x="1019175" y="121062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37</xdr:row>
      <xdr:rowOff>0</xdr:rowOff>
    </xdr:from>
    <xdr:ext cx="104775" cy="47625"/>
    <xdr:sp fLocksText="0">
      <xdr:nvSpPr>
        <xdr:cNvPr id="14" name="Text Box 4"/>
        <xdr:cNvSpPr txBox="1">
          <a:spLocks noChangeArrowheads="1"/>
        </xdr:cNvSpPr>
      </xdr:nvSpPr>
      <xdr:spPr>
        <a:xfrm>
          <a:off x="1019175" y="121062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37</xdr:row>
      <xdr:rowOff>0</xdr:rowOff>
    </xdr:from>
    <xdr:ext cx="104775" cy="47625"/>
    <xdr:sp fLocksText="0">
      <xdr:nvSpPr>
        <xdr:cNvPr id="15" name="Text Box 1"/>
        <xdr:cNvSpPr txBox="1">
          <a:spLocks noChangeArrowheads="1"/>
        </xdr:cNvSpPr>
      </xdr:nvSpPr>
      <xdr:spPr>
        <a:xfrm>
          <a:off x="1019175" y="121062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37</xdr:row>
      <xdr:rowOff>0</xdr:rowOff>
    </xdr:from>
    <xdr:ext cx="104775" cy="47625"/>
    <xdr:sp fLocksText="0">
      <xdr:nvSpPr>
        <xdr:cNvPr id="16" name="Text Box 4"/>
        <xdr:cNvSpPr txBox="1">
          <a:spLocks noChangeArrowheads="1"/>
        </xdr:cNvSpPr>
      </xdr:nvSpPr>
      <xdr:spPr>
        <a:xfrm>
          <a:off x="1019175" y="121062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36</xdr:row>
      <xdr:rowOff>0</xdr:rowOff>
    </xdr:from>
    <xdr:ext cx="104775" cy="47625"/>
    <xdr:sp fLocksText="0">
      <xdr:nvSpPr>
        <xdr:cNvPr id="17" name="Text Box 1"/>
        <xdr:cNvSpPr txBox="1">
          <a:spLocks noChangeArrowheads="1"/>
        </xdr:cNvSpPr>
      </xdr:nvSpPr>
      <xdr:spPr>
        <a:xfrm>
          <a:off x="1019175" y="117824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36</xdr:row>
      <xdr:rowOff>0</xdr:rowOff>
    </xdr:from>
    <xdr:ext cx="104775" cy="47625"/>
    <xdr:sp fLocksText="0">
      <xdr:nvSpPr>
        <xdr:cNvPr id="18" name="Text Box 4"/>
        <xdr:cNvSpPr txBox="1">
          <a:spLocks noChangeArrowheads="1"/>
        </xdr:cNvSpPr>
      </xdr:nvSpPr>
      <xdr:spPr>
        <a:xfrm>
          <a:off x="1019175" y="117824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36</xdr:row>
      <xdr:rowOff>0</xdr:rowOff>
    </xdr:from>
    <xdr:ext cx="104775" cy="47625"/>
    <xdr:sp fLocksText="0">
      <xdr:nvSpPr>
        <xdr:cNvPr id="19" name="Text Box 1"/>
        <xdr:cNvSpPr txBox="1">
          <a:spLocks noChangeArrowheads="1"/>
        </xdr:cNvSpPr>
      </xdr:nvSpPr>
      <xdr:spPr>
        <a:xfrm>
          <a:off x="1019175" y="117824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36</xdr:row>
      <xdr:rowOff>0</xdr:rowOff>
    </xdr:from>
    <xdr:ext cx="104775" cy="47625"/>
    <xdr:sp fLocksText="0">
      <xdr:nvSpPr>
        <xdr:cNvPr id="20" name="Text Box 4"/>
        <xdr:cNvSpPr txBox="1">
          <a:spLocks noChangeArrowheads="1"/>
        </xdr:cNvSpPr>
      </xdr:nvSpPr>
      <xdr:spPr>
        <a:xfrm>
          <a:off x="1019175" y="117824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36</xdr:row>
      <xdr:rowOff>0</xdr:rowOff>
    </xdr:from>
    <xdr:ext cx="104775" cy="47625"/>
    <xdr:sp fLocksText="0">
      <xdr:nvSpPr>
        <xdr:cNvPr id="21" name="Text Box 1"/>
        <xdr:cNvSpPr txBox="1">
          <a:spLocks noChangeArrowheads="1"/>
        </xdr:cNvSpPr>
      </xdr:nvSpPr>
      <xdr:spPr>
        <a:xfrm>
          <a:off x="1019175" y="117824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36</xdr:row>
      <xdr:rowOff>0</xdr:rowOff>
    </xdr:from>
    <xdr:ext cx="104775" cy="47625"/>
    <xdr:sp fLocksText="0">
      <xdr:nvSpPr>
        <xdr:cNvPr id="22" name="Text Box 4"/>
        <xdr:cNvSpPr txBox="1">
          <a:spLocks noChangeArrowheads="1"/>
        </xdr:cNvSpPr>
      </xdr:nvSpPr>
      <xdr:spPr>
        <a:xfrm>
          <a:off x="1019175" y="117824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36</xdr:row>
      <xdr:rowOff>0</xdr:rowOff>
    </xdr:from>
    <xdr:ext cx="104775" cy="47625"/>
    <xdr:sp fLocksText="0">
      <xdr:nvSpPr>
        <xdr:cNvPr id="23" name="Text Box 1"/>
        <xdr:cNvSpPr txBox="1">
          <a:spLocks noChangeArrowheads="1"/>
        </xdr:cNvSpPr>
      </xdr:nvSpPr>
      <xdr:spPr>
        <a:xfrm>
          <a:off x="1019175" y="117824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36</xdr:row>
      <xdr:rowOff>0</xdr:rowOff>
    </xdr:from>
    <xdr:ext cx="104775" cy="47625"/>
    <xdr:sp fLocksText="0">
      <xdr:nvSpPr>
        <xdr:cNvPr id="24" name="Text Box 4"/>
        <xdr:cNvSpPr txBox="1">
          <a:spLocks noChangeArrowheads="1"/>
        </xdr:cNvSpPr>
      </xdr:nvSpPr>
      <xdr:spPr>
        <a:xfrm>
          <a:off x="1019175" y="117824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71</xdr:row>
      <xdr:rowOff>0</xdr:rowOff>
    </xdr:from>
    <xdr:ext cx="104775" cy="47625"/>
    <xdr:sp fLocksText="0">
      <xdr:nvSpPr>
        <xdr:cNvPr id="25" name="Text Box 1"/>
        <xdr:cNvSpPr txBox="1">
          <a:spLocks noChangeArrowheads="1"/>
        </xdr:cNvSpPr>
      </xdr:nvSpPr>
      <xdr:spPr>
        <a:xfrm>
          <a:off x="1019175" y="24374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71</xdr:row>
      <xdr:rowOff>0</xdr:rowOff>
    </xdr:from>
    <xdr:ext cx="104775" cy="47625"/>
    <xdr:sp fLocksText="0">
      <xdr:nvSpPr>
        <xdr:cNvPr id="26" name="Text Box 4"/>
        <xdr:cNvSpPr txBox="1">
          <a:spLocks noChangeArrowheads="1"/>
        </xdr:cNvSpPr>
      </xdr:nvSpPr>
      <xdr:spPr>
        <a:xfrm>
          <a:off x="1019175" y="24374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71</xdr:row>
      <xdr:rowOff>0</xdr:rowOff>
    </xdr:from>
    <xdr:ext cx="104775" cy="47625"/>
    <xdr:sp fLocksText="0">
      <xdr:nvSpPr>
        <xdr:cNvPr id="27" name="Text Box 1"/>
        <xdr:cNvSpPr txBox="1">
          <a:spLocks noChangeArrowheads="1"/>
        </xdr:cNvSpPr>
      </xdr:nvSpPr>
      <xdr:spPr>
        <a:xfrm>
          <a:off x="1019175" y="24374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71</xdr:row>
      <xdr:rowOff>0</xdr:rowOff>
    </xdr:from>
    <xdr:ext cx="104775" cy="47625"/>
    <xdr:sp fLocksText="0">
      <xdr:nvSpPr>
        <xdr:cNvPr id="28" name="Text Box 4"/>
        <xdr:cNvSpPr txBox="1">
          <a:spLocks noChangeArrowheads="1"/>
        </xdr:cNvSpPr>
      </xdr:nvSpPr>
      <xdr:spPr>
        <a:xfrm>
          <a:off x="1019175" y="24374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70</xdr:row>
      <xdr:rowOff>0</xdr:rowOff>
    </xdr:from>
    <xdr:ext cx="104775" cy="47625"/>
    <xdr:sp fLocksText="0">
      <xdr:nvSpPr>
        <xdr:cNvPr id="29" name="Text Box 1"/>
        <xdr:cNvSpPr txBox="1">
          <a:spLocks noChangeArrowheads="1"/>
        </xdr:cNvSpPr>
      </xdr:nvSpPr>
      <xdr:spPr>
        <a:xfrm>
          <a:off x="1019175" y="240601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70</xdr:row>
      <xdr:rowOff>0</xdr:rowOff>
    </xdr:from>
    <xdr:ext cx="104775" cy="47625"/>
    <xdr:sp fLocksText="0">
      <xdr:nvSpPr>
        <xdr:cNvPr id="30" name="Text Box 4"/>
        <xdr:cNvSpPr txBox="1">
          <a:spLocks noChangeArrowheads="1"/>
        </xdr:cNvSpPr>
      </xdr:nvSpPr>
      <xdr:spPr>
        <a:xfrm>
          <a:off x="1019175" y="240601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70</xdr:row>
      <xdr:rowOff>0</xdr:rowOff>
    </xdr:from>
    <xdr:ext cx="104775" cy="47625"/>
    <xdr:sp fLocksText="0">
      <xdr:nvSpPr>
        <xdr:cNvPr id="31" name="Text Box 1"/>
        <xdr:cNvSpPr txBox="1">
          <a:spLocks noChangeArrowheads="1"/>
        </xdr:cNvSpPr>
      </xdr:nvSpPr>
      <xdr:spPr>
        <a:xfrm>
          <a:off x="1019175" y="240601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70</xdr:row>
      <xdr:rowOff>0</xdr:rowOff>
    </xdr:from>
    <xdr:ext cx="104775" cy="47625"/>
    <xdr:sp fLocksText="0">
      <xdr:nvSpPr>
        <xdr:cNvPr id="32" name="Text Box 4"/>
        <xdr:cNvSpPr txBox="1">
          <a:spLocks noChangeArrowheads="1"/>
        </xdr:cNvSpPr>
      </xdr:nvSpPr>
      <xdr:spPr>
        <a:xfrm>
          <a:off x="1019175" y="240601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70</xdr:row>
      <xdr:rowOff>0</xdr:rowOff>
    </xdr:from>
    <xdr:ext cx="104775" cy="47625"/>
    <xdr:sp fLocksText="0">
      <xdr:nvSpPr>
        <xdr:cNvPr id="33" name="Text Box 1"/>
        <xdr:cNvSpPr txBox="1">
          <a:spLocks noChangeArrowheads="1"/>
        </xdr:cNvSpPr>
      </xdr:nvSpPr>
      <xdr:spPr>
        <a:xfrm>
          <a:off x="1019175" y="240601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70</xdr:row>
      <xdr:rowOff>0</xdr:rowOff>
    </xdr:from>
    <xdr:ext cx="104775" cy="47625"/>
    <xdr:sp fLocksText="0">
      <xdr:nvSpPr>
        <xdr:cNvPr id="34" name="Text Box 4"/>
        <xdr:cNvSpPr txBox="1">
          <a:spLocks noChangeArrowheads="1"/>
        </xdr:cNvSpPr>
      </xdr:nvSpPr>
      <xdr:spPr>
        <a:xfrm>
          <a:off x="1019175" y="240601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70</xdr:row>
      <xdr:rowOff>0</xdr:rowOff>
    </xdr:from>
    <xdr:ext cx="104775" cy="47625"/>
    <xdr:sp fLocksText="0">
      <xdr:nvSpPr>
        <xdr:cNvPr id="35" name="Text Box 1"/>
        <xdr:cNvSpPr txBox="1">
          <a:spLocks noChangeArrowheads="1"/>
        </xdr:cNvSpPr>
      </xdr:nvSpPr>
      <xdr:spPr>
        <a:xfrm>
          <a:off x="1019175" y="240601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657225</xdr:colOff>
      <xdr:row>70</xdr:row>
      <xdr:rowOff>0</xdr:rowOff>
    </xdr:from>
    <xdr:ext cx="104775" cy="47625"/>
    <xdr:sp fLocksText="0">
      <xdr:nvSpPr>
        <xdr:cNvPr id="36" name="Text Box 4"/>
        <xdr:cNvSpPr txBox="1">
          <a:spLocks noChangeArrowheads="1"/>
        </xdr:cNvSpPr>
      </xdr:nvSpPr>
      <xdr:spPr>
        <a:xfrm>
          <a:off x="1019175" y="240601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981075</xdr:colOff>
      <xdr:row>74</xdr:row>
      <xdr:rowOff>0</xdr:rowOff>
    </xdr:from>
    <xdr:ext cx="104775" cy="47625"/>
    <xdr:sp fLocksText="0">
      <xdr:nvSpPr>
        <xdr:cNvPr id="1" name="Text Box 1"/>
        <xdr:cNvSpPr txBox="1">
          <a:spLocks noChangeArrowheads="1"/>
        </xdr:cNvSpPr>
      </xdr:nvSpPr>
      <xdr:spPr>
        <a:xfrm>
          <a:off x="1390650" y="264318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74</xdr:row>
      <xdr:rowOff>0</xdr:rowOff>
    </xdr:from>
    <xdr:ext cx="104775" cy="47625"/>
    <xdr:sp fLocksText="0">
      <xdr:nvSpPr>
        <xdr:cNvPr id="2" name="Text Box 4"/>
        <xdr:cNvSpPr txBox="1">
          <a:spLocks noChangeArrowheads="1"/>
        </xdr:cNvSpPr>
      </xdr:nvSpPr>
      <xdr:spPr>
        <a:xfrm>
          <a:off x="1390650" y="264318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74</xdr:row>
      <xdr:rowOff>0</xdr:rowOff>
    </xdr:from>
    <xdr:ext cx="104775" cy="47625"/>
    <xdr:sp fLocksText="0">
      <xdr:nvSpPr>
        <xdr:cNvPr id="3" name="Text Box 1"/>
        <xdr:cNvSpPr txBox="1">
          <a:spLocks noChangeArrowheads="1"/>
        </xdr:cNvSpPr>
      </xdr:nvSpPr>
      <xdr:spPr>
        <a:xfrm>
          <a:off x="1390650" y="264318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73</xdr:row>
      <xdr:rowOff>0</xdr:rowOff>
    </xdr:from>
    <xdr:ext cx="104775" cy="47625"/>
    <xdr:sp fLocksText="0">
      <xdr:nvSpPr>
        <xdr:cNvPr id="4" name="Text Box 1"/>
        <xdr:cNvSpPr txBox="1">
          <a:spLocks noChangeArrowheads="1"/>
        </xdr:cNvSpPr>
      </xdr:nvSpPr>
      <xdr:spPr>
        <a:xfrm>
          <a:off x="1390650" y="260604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73</xdr:row>
      <xdr:rowOff>0</xdr:rowOff>
    </xdr:from>
    <xdr:ext cx="104775" cy="47625"/>
    <xdr:sp fLocksText="0">
      <xdr:nvSpPr>
        <xdr:cNvPr id="5" name="Text Box 4"/>
        <xdr:cNvSpPr txBox="1">
          <a:spLocks noChangeArrowheads="1"/>
        </xdr:cNvSpPr>
      </xdr:nvSpPr>
      <xdr:spPr>
        <a:xfrm>
          <a:off x="1390650" y="260604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73</xdr:row>
      <xdr:rowOff>0</xdr:rowOff>
    </xdr:from>
    <xdr:ext cx="104775" cy="47625"/>
    <xdr:sp fLocksText="0">
      <xdr:nvSpPr>
        <xdr:cNvPr id="6" name="Text Box 1"/>
        <xdr:cNvSpPr txBox="1">
          <a:spLocks noChangeArrowheads="1"/>
        </xdr:cNvSpPr>
      </xdr:nvSpPr>
      <xdr:spPr>
        <a:xfrm>
          <a:off x="1390650" y="260604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73</xdr:row>
      <xdr:rowOff>0</xdr:rowOff>
    </xdr:from>
    <xdr:ext cx="104775" cy="47625"/>
    <xdr:sp fLocksText="0">
      <xdr:nvSpPr>
        <xdr:cNvPr id="7" name="Text Box 4"/>
        <xdr:cNvSpPr txBox="1">
          <a:spLocks noChangeArrowheads="1"/>
        </xdr:cNvSpPr>
      </xdr:nvSpPr>
      <xdr:spPr>
        <a:xfrm>
          <a:off x="1390650" y="260604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73</xdr:row>
      <xdr:rowOff>0</xdr:rowOff>
    </xdr:from>
    <xdr:ext cx="104775" cy="47625"/>
    <xdr:sp fLocksText="0">
      <xdr:nvSpPr>
        <xdr:cNvPr id="8" name="Text Box 1"/>
        <xdr:cNvSpPr txBox="1">
          <a:spLocks noChangeArrowheads="1"/>
        </xdr:cNvSpPr>
      </xdr:nvSpPr>
      <xdr:spPr>
        <a:xfrm>
          <a:off x="1390650" y="260604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73</xdr:row>
      <xdr:rowOff>0</xdr:rowOff>
    </xdr:from>
    <xdr:ext cx="104775" cy="47625"/>
    <xdr:sp fLocksText="0">
      <xdr:nvSpPr>
        <xdr:cNvPr id="9" name="Text Box 4"/>
        <xdr:cNvSpPr txBox="1">
          <a:spLocks noChangeArrowheads="1"/>
        </xdr:cNvSpPr>
      </xdr:nvSpPr>
      <xdr:spPr>
        <a:xfrm>
          <a:off x="1390650" y="260604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73</xdr:row>
      <xdr:rowOff>0</xdr:rowOff>
    </xdr:from>
    <xdr:ext cx="104775" cy="47625"/>
    <xdr:sp fLocksText="0">
      <xdr:nvSpPr>
        <xdr:cNvPr id="10" name="Text Box 1"/>
        <xdr:cNvSpPr txBox="1">
          <a:spLocks noChangeArrowheads="1"/>
        </xdr:cNvSpPr>
      </xdr:nvSpPr>
      <xdr:spPr>
        <a:xfrm>
          <a:off x="1390650" y="260604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73</xdr:row>
      <xdr:rowOff>0</xdr:rowOff>
    </xdr:from>
    <xdr:ext cx="104775" cy="47625"/>
    <xdr:sp fLocksText="0">
      <xdr:nvSpPr>
        <xdr:cNvPr id="11" name="Text Box 4"/>
        <xdr:cNvSpPr txBox="1">
          <a:spLocks noChangeArrowheads="1"/>
        </xdr:cNvSpPr>
      </xdr:nvSpPr>
      <xdr:spPr>
        <a:xfrm>
          <a:off x="1390650" y="260604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88</xdr:row>
      <xdr:rowOff>0</xdr:rowOff>
    </xdr:from>
    <xdr:ext cx="104775" cy="47625"/>
    <xdr:sp fLocksText="0">
      <xdr:nvSpPr>
        <xdr:cNvPr id="12" name="Text Box 1"/>
        <xdr:cNvSpPr txBox="1">
          <a:spLocks noChangeArrowheads="1"/>
        </xdr:cNvSpPr>
      </xdr:nvSpPr>
      <xdr:spPr>
        <a:xfrm>
          <a:off x="1390650" y="316325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88</xdr:row>
      <xdr:rowOff>0</xdr:rowOff>
    </xdr:from>
    <xdr:ext cx="104775" cy="47625"/>
    <xdr:sp fLocksText="0">
      <xdr:nvSpPr>
        <xdr:cNvPr id="13" name="Text Box 4"/>
        <xdr:cNvSpPr txBox="1">
          <a:spLocks noChangeArrowheads="1"/>
        </xdr:cNvSpPr>
      </xdr:nvSpPr>
      <xdr:spPr>
        <a:xfrm>
          <a:off x="1390650" y="316325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88</xdr:row>
      <xdr:rowOff>0</xdr:rowOff>
    </xdr:from>
    <xdr:ext cx="104775" cy="47625"/>
    <xdr:sp fLocksText="0">
      <xdr:nvSpPr>
        <xdr:cNvPr id="14" name="Text Box 1"/>
        <xdr:cNvSpPr txBox="1">
          <a:spLocks noChangeArrowheads="1"/>
        </xdr:cNvSpPr>
      </xdr:nvSpPr>
      <xdr:spPr>
        <a:xfrm>
          <a:off x="1390650" y="316325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86</xdr:row>
      <xdr:rowOff>0</xdr:rowOff>
    </xdr:from>
    <xdr:ext cx="104775" cy="47625"/>
    <xdr:sp fLocksText="0">
      <xdr:nvSpPr>
        <xdr:cNvPr id="15" name="Text Box 1"/>
        <xdr:cNvSpPr txBox="1">
          <a:spLocks noChangeArrowheads="1"/>
        </xdr:cNvSpPr>
      </xdr:nvSpPr>
      <xdr:spPr>
        <a:xfrm>
          <a:off x="1390650" y="308895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86</xdr:row>
      <xdr:rowOff>0</xdr:rowOff>
    </xdr:from>
    <xdr:ext cx="104775" cy="47625"/>
    <xdr:sp fLocksText="0">
      <xdr:nvSpPr>
        <xdr:cNvPr id="16" name="Text Box 4"/>
        <xdr:cNvSpPr txBox="1">
          <a:spLocks noChangeArrowheads="1"/>
        </xdr:cNvSpPr>
      </xdr:nvSpPr>
      <xdr:spPr>
        <a:xfrm>
          <a:off x="1390650" y="308895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86</xdr:row>
      <xdr:rowOff>0</xdr:rowOff>
    </xdr:from>
    <xdr:ext cx="104775" cy="47625"/>
    <xdr:sp fLocksText="0">
      <xdr:nvSpPr>
        <xdr:cNvPr id="17" name="Text Box 1"/>
        <xdr:cNvSpPr txBox="1">
          <a:spLocks noChangeArrowheads="1"/>
        </xdr:cNvSpPr>
      </xdr:nvSpPr>
      <xdr:spPr>
        <a:xfrm>
          <a:off x="1390650" y="308895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86</xdr:row>
      <xdr:rowOff>0</xdr:rowOff>
    </xdr:from>
    <xdr:ext cx="104775" cy="47625"/>
    <xdr:sp fLocksText="0">
      <xdr:nvSpPr>
        <xdr:cNvPr id="18" name="Text Box 4"/>
        <xdr:cNvSpPr txBox="1">
          <a:spLocks noChangeArrowheads="1"/>
        </xdr:cNvSpPr>
      </xdr:nvSpPr>
      <xdr:spPr>
        <a:xfrm>
          <a:off x="1390650" y="308895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86</xdr:row>
      <xdr:rowOff>0</xdr:rowOff>
    </xdr:from>
    <xdr:ext cx="104775" cy="47625"/>
    <xdr:sp fLocksText="0">
      <xdr:nvSpPr>
        <xdr:cNvPr id="19" name="Text Box 1"/>
        <xdr:cNvSpPr txBox="1">
          <a:spLocks noChangeArrowheads="1"/>
        </xdr:cNvSpPr>
      </xdr:nvSpPr>
      <xdr:spPr>
        <a:xfrm>
          <a:off x="1390650" y="308895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86</xdr:row>
      <xdr:rowOff>0</xdr:rowOff>
    </xdr:from>
    <xdr:ext cx="104775" cy="47625"/>
    <xdr:sp fLocksText="0">
      <xdr:nvSpPr>
        <xdr:cNvPr id="20" name="Text Box 4"/>
        <xdr:cNvSpPr txBox="1">
          <a:spLocks noChangeArrowheads="1"/>
        </xdr:cNvSpPr>
      </xdr:nvSpPr>
      <xdr:spPr>
        <a:xfrm>
          <a:off x="1390650" y="308895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86</xdr:row>
      <xdr:rowOff>0</xdr:rowOff>
    </xdr:from>
    <xdr:ext cx="104775" cy="47625"/>
    <xdr:sp fLocksText="0">
      <xdr:nvSpPr>
        <xdr:cNvPr id="21" name="Text Box 1"/>
        <xdr:cNvSpPr txBox="1">
          <a:spLocks noChangeArrowheads="1"/>
        </xdr:cNvSpPr>
      </xdr:nvSpPr>
      <xdr:spPr>
        <a:xfrm>
          <a:off x="1390650" y="308895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86</xdr:row>
      <xdr:rowOff>0</xdr:rowOff>
    </xdr:from>
    <xdr:ext cx="104775" cy="47625"/>
    <xdr:sp fLocksText="0">
      <xdr:nvSpPr>
        <xdr:cNvPr id="22" name="Text Box 4"/>
        <xdr:cNvSpPr txBox="1">
          <a:spLocks noChangeArrowheads="1"/>
        </xdr:cNvSpPr>
      </xdr:nvSpPr>
      <xdr:spPr>
        <a:xfrm>
          <a:off x="1390650" y="308895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64</xdr:row>
      <xdr:rowOff>0</xdr:rowOff>
    </xdr:from>
    <xdr:ext cx="104775" cy="47625"/>
    <xdr:sp fLocksText="0">
      <xdr:nvSpPr>
        <xdr:cNvPr id="23" name="Text Box 1"/>
        <xdr:cNvSpPr txBox="1">
          <a:spLocks noChangeArrowheads="1"/>
        </xdr:cNvSpPr>
      </xdr:nvSpPr>
      <xdr:spPr>
        <a:xfrm>
          <a:off x="1390650" y="227171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64</xdr:row>
      <xdr:rowOff>0</xdr:rowOff>
    </xdr:from>
    <xdr:ext cx="104775" cy="47625"/>
    <xdr:sp fLocksText="0">
      <xdr:nvSpPr>
        <xdr:cNvPr id="24" name="Text Box 4"/>
        <xdr:cNvSpPr txBox="1">
          <a:spLocks noChangeArrowheads="1"/>
        </xdr:cNvSpPr>
      </xdr:nvSpPr>
      <xdr:spPr>
        <a:xfrm>
          <a:off x="1390650" y="227171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64</xdr:row>
      <xdr:rowOff>0</xdr:rowOff>
    </xdr:from>
    <xdr:ext cx="104775" cy="47625"/>
    <xdr:sp fLocksText="0">
      <xdr:nvSpPr>
        <xdr:cNvPr id="25" name="Text Box 1"/>
        <xdr:cNvSpPr txBox="1">
          <a:spLocks noChangeArrowheads="1"/>
        </xdr:cNvSpPr>
      </xdr:nvSpPr>
      <xdr:spPr>
        <a:xfrm>
          <a:off x="1390650" y="227171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63</xdr:row>
      <xdr:rowOff>0</xdr:rowOff>
    </xdr:from>
    <xdr:ext cx="104775" cy="47625"/>
    <xdr:sp fLocksText="0">
      <xdr:nvSpPr>
        <xdr:cNvPr id="26" name="Text Box 1"/>
        <xdr:cNvSpPr txBox="1">
          <a:spLocks noChangeArrowheads="1"/>
        </xdr:cNvSpPr>
      </xdr:nvSpPr>
      <xdr:spPr>
        <a:xfrm>
          <a:off x="1390650" y="22345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63</xdr:row>
      <xdr:rowOff>0</xdr:rowOff>
    </xdr:from>
    <xdr:ext cx="104775" cy="47625"/>
    <xdr:sp fLocksText="0">
      <xdr:nvSpPr>
        <xdr:cNvPr id="27" name="Text Box 4"/>
        <xdr:cNvSpPr txBox="1">
          <a:spLocks noChangeArrowheads="1"/>
        </xdr:cNvSpPr>
      </xdr:nvSpPr>
      <xdr:spPr>
        <a:xfrm>
          <a:off x="1390650" y="22345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63</xdr:row>
      <xdr:rowOff>0</xdr:rowOff>
    </xdr:from>
    <xdr:ext cx="104775" cy="47625"/>
    <xdr:sp fLocksText="0">
      <xdr:nvSpPr>
        <xdr:cNvPr id="28" name="Text Box 1"/>
        <xdr:cNvSpPr txBox="1">
          <a:spLocks noChangeArrowheads="1"/>
        </xdr:cNvSpPr>
      </xdr:nvSpPr>
      <xdr:spPr>
        <a:xfrm>
          <a:off x="1390650" y="22345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63</xdr:row>
      <xdr:rowOff>0</xdr:rowOff>
    </xdr:from>
    <xdr:ext cx="104775" cy="47625"/>
    <xdr:sp fLocksText="0">
      <xdr:nvSpPr>
        <xdr:cNvPr id="29" name="Text Box 4"/>
        <xdr:cNvSpPr txBox="1">
          <a:spLocks noChangeArrowheads="1"/>
        </xdr:cNvSpPr>
      </xdr:nvSpPr>
      <xdr:spPr>
        <a:xfrm>
          <a:off x="1390650" y="22345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63</xdr:row>
      <xdr:rowOff>0</xdr:rowOff>
    </xdr:from>
    <xdr:ext cx="104775" cy="47625"/>
    <xdr:sp fLocksText="0">
      <xdr:nvSpPr>
        <xdr:cNvPr id="30" name="Text Box 1"/>
        <xdr:cNvSpPr txBox="1">
          <a:spLocks noChangeArrowheads="1"/>
        </xdr:cNvSpPr>
      </xdr:nvSpPr>
      <xdr:spPr>
        <a:xfrm>
          <a:off x="1390650" y="22345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63</xdr:row>
      <xdr:rowOff>0</xdr:rowOff>
    </xdr:from>
    <xdr:ext cx="104775" cy="47625"/>
    <xdr:sp fLocksText="0">
      <xdr:nvSpPr>
        <xdr:cNvPr id="31" name="Text Box 4"/>
        <xdr:cNvSpPr txBox="1">
          <a:spLocks noChangeArrowheads="1"/>
        </xdr:cNvSpPr>
      </xdr:nvSpPr>
      <xdr:spPr>
        <a:xfrm>
          <a:off x="1390650" y="22345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63</xdr:row>
      <xdr:rowOff>0</xdr:rowOff>
    </xdr:from>
    <xdr:ext cx="104775" cy="47625"/>
    <xdr:sp fLocksText="0">
      <xdr:nvSpPr>
        <xdr:cNvPr id="32" name="Text Box 1"/>
        <xdr:cNvSpPr txBox="1">
          <a:spLocks noChangeArrowheads="1"/>
        </xdr:cNvSpPr>
      </xdr:nvSpPr>
      <xdr:spPr>
        <a:xfrm>
          <a:off x="1390650" y="22345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63</xdr:row>
      <xdr:rowOff>0</xdr:rowOff>
    </xdr:from>
    <xdr:ext cx="104775" cy="47625"/>
    <xdr:sp fLocksText="0">
      <xdr:nvSpPr>
        <xdr:cNvPr id="33" name="Text Box 4"/>
        <xdr:cNvSpPr txBox="1">
          <a:spLocks noChangeArrowheads="1"/>
        </xdr:cNvSpPr>
      </xdr:nvSpPr>
      <xdr:spPr>
        <a:xfrm>
          <a:off x="1390650" y="22345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63</xdr:row>
      <xdr:rowOff>0</xdr:rowOff>
    </xdr:from>
    <xdr:ext cx="104775" cy="47625"/>
    <xdr:sp fLocksText="0">
      <xdr:nvSpPr>
        <xdr:cNvPr id="34" name="Text Box 1"/>
        <xdr:cNvSpPr txBox="1">
          <a:spLocks noChangeArrowheads="1"/>
        </xdr:cNvSpPr>
      </xdr:nvSpPr>
      <xdr:spPr>
        <a:xfrm>
          <a:off x="1390650" y="22345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63</xdr:row>
      <xdr:rowOff>0</xdr:rowOff>
    </xdr:from>
    <xdr:ext cx="104775" cy="47625"/>
    <xdr:sp fLocksText="0">
      <xdr:nvSpPr>
        <xdr:cNvPr id="35" name="Text Box 4"/>
        <xdr:cNvSpPr txBox="1">
          <a:spLocks noChangeArrowheads="1"/>
        </xdr:cNvSpPr>
      </xdr:nvSpPr>
      <xdr:spPr>
        <a:xfrm>
          <a:off x="1390650" y="22345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63</xdr:row>
      <xdr:rowOff>0</xdr:rowOff>
    </xdr:from>
    <xdr:ext cx="104775" cy="47625"/>
    <xdr:sp fLocksText="0">
      <xdr:nvSpPr>
        <xdr:cNvPr id="36" name="Text Box 1"/>
        <xdr:cNvSpPr txBox="1">
          <a:spLocks noChangeArrowheads="1"/>
        </xdr:cNvSpPr>
      </xdr:nvSpPr>
      <xdr:spPr>
        <a:xfrm>
          <a:off x="1390650" y="22345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63</xdr:row>
      <xdr:rowOff>0</xdr:rowOff>
    </xdr:from>
    <xdr:ext cx="104775" cy="47625"/>
    <xdr:sp fLocksText="0">
      <xdr:nvSpPr>
        <xdr:cNvPr id="37" name="Text Box 4"/>
        <xdr:cNvSpPr txBox="1">
          <a:spLocks noChangeArrowheads="1"/>
        </xdr:cNvSpPr>
      </xdr:nvSpPr>
      <xdr:spPr>
        <a:xfrm>
          <a:off x="1390650" y="22345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63</xdr:row>
      <xdr:rowOff>0</xdr:rowOff>
    </xdr:from>
    <xdr:ext cx="104775" cy="47625"/>
    <xdr:sp fLocksText="0">
      <xdr:nvSpPr>
        <xdr:cNvPr id="38" name="Text Box 1"/>
        <xdr:cNvSpPr txBox="1">
          <a:spLocks noChangeArrowheads="1"/>
        </xdr:cNvSpPr>
      </xdr:nvSpPr>
      <xdr:spPr>
        <a:xfrm>
          <a:off x="1390650" y="22345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63</xdr:row>
      <xdr:rowOff>0</xdr:rowOff>
    </xdr:from>
    <xdr:ext cx="104775" cy="47625"/>
    <xdr:sp fLocksText="0">
      <xdr:nvSpPr>
        <xdr:cNvPr id="39" name="Text Box 4"/>
        <xdr:cNvSpPr txBox="1">
          <a:spLocks noChangeArrowheads="1"/>
        </xdr:cNvSpPr>
      </xdr:nvSpPr>
      <xdr:spPr>
        <a:xfrm>
          <a:off x="1390650" y="22345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63</xdr:row>
      <xdr:rowOff>0</xdr:rowOff>
    </xdr:from>
    <xdr:ext cx="104775" cy="47625"/>
    <xdr:sp fLocksText="0">
      <xdr:nvSpPr>
        <xdr:cNvPr id="40" name="Text Box 1"/>
        <xdr:cNvSpPr txBox="1">
          <a:spLocks noChangeArrowheads="1"/>
        </xdr:cNvSpPr>
      </xdr:nvSpPr>
      <xdr:spPr>
        <a:xfrm>
          <a:off x="1390650" y="22345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63</xdr:row>
      <xdr:rowOff>0</xdr:rowOff>
    </xdr:from>
    <xdr:ext cx="104775" cy="47625"/>
    <xdr:sp fLocksText="0">
      <xdr:nvSpPr>
        <xdr:cNvPr id="41" name="Text Box 4"/>
        <xdr:cNvSpPr txBox="1">
          <a:spLocks noChangeArrowheads="1"/>
        </xdr:cNvSpPr>
      </xdr:nvSpPr>
      <xdr:spPr>
        <a:xfrm>
          <a:off x="1390650" y="22345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31</xdr:row>
      <xdr:rowOff>0</xdr:rowOff>
    </xdr:from>
    <xdr:ext cx="104775" cy="47625"/>
    <xdr:sp fLocksText="0">
      <xdr:nvSpPr>
        <xdr:cNvPr id="42" name="Text Box 1"/>
        <xdr:cNvSpPr txBox="1">
          <a:spLocks noChangeArrowheads="1"/>
        </xdr:cNvSpPr>
      </xdr:nvSpPr>
      <xdr:spPr>
        <a:xfrm>
          <a:off x="1390650" y="11010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31</xdr:row>
      <xdr:rowOff>0</xdr:rowOff>
    </xdr:from>
    <xdr:ext cx="104775" cy="47625"/>
    <xdr:sp fLocksText="0">
      <xdr:nvSpPr>
        <xdr:cNvPr id="43" name="Text Box 4"/>
        <xdr:cNvSpPr txBox="1">
          <a:spLocks noChangeArrowheads="1"/>
        </xdr:cNvSpPr>
      </xdr:nvSpPr>
      <xdr:spPr>
        <a:xfrm>
          <a:off x="1390650" y="11010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31</xdr:row>
      <xdr:rowOff>0</xdr:rowOff>
    </xdr:from>
    <xdr:ext cx="104775" cy="47625"/>
    <xdr:sp fLocksText="0">
      <xdr:nvSpPr>
        <xdr:cNvPr id="44" name="Text Box 1"/>
        <xdr:cNvSpPr txBox="1">
          <a:spLocks noChangeArrowheads="1"/>
        </xdr:cNvSpPr>
      </xdr:nvSpPr>
      <xdr:spPr>
        <a:xfrm>
          <a:off x="1390650" y="11010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31</xdr:row>
      <xdr:rowOff>0</xdr:rowOff>
    </xdr:from>
    <xdr:ext cx="104775" cy="47625"/>
    <xdr:sp fLocksText="0">
      <xdr:nvSpPr>
        <xdr:cNvPr id="45" name="Text Box 4"/>
        <xdr:cNvSpPr txBox="1">
          <a:spLocks noChangeArrowheads="1"/>
        </xdr:cNvSpPr>
      </xdr:nvSpPr>
      <xdr:spPr>
        <a:xfrm>
          <a:off x="1390650" y="11010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31</xdr:row>
      <xdr:rowOff>0</xdr:rowOff>
    </xdr:from>
    <xdr:ext cx="104775" cy="47625"/>
    <xdr:sp fLocksText="0">
      <xdr:nvSpPr>
        <xdr:cNvPr id="46" name="Text Box 1"/>
        <xdr:cNvSpPr txBox="1">
          <a:spLocks noChangeArrowheads="1"/>
        </xdr:cNvSpPr>
      </xdr:nvSpPr>
      <xdr:spPr>
        <a:xfrm>
          <a:off x="1390650" y="11010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31</xdr:row>
      <xdr:rowOff>0</xdr:rowOff>
    </xdr:from>
    <xdr:ext cx="104775" cy="47625"/>
    <xdr:sp fLocksText="0">
      <xdr:nvSpPr>
        <xdr:cNvPr id="47" name="Text Box 4"/>
        <xdr:cNvSpPr txBox="1">
          <a:spLocks noChangeArrowheads="1"/>
        </xdr:cNvSpPr>
      </xdr:nvSpPr>
      <xdr:spPr>
        <a:xfrm>
          <a:off x="1390650" y="11010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31</xdr:row>
      <xdr:rowOff>0</xdr:rowOff>
    </xdr:from>
    <xdr:ext cx="104775" cy="47625"/>
    <xdr:sp fLocksText="0">
      <xdr:nvSpPr>
        <xdr:cNvPr id="48" name="Text Box 1"/>
        <xdr:cNvSpPr txBox="1">
          <a:spLocks noChangeArrowheads="1"/>
        </xdr:cNvSpPr>
      </xdr:nvSpPr>
      <xdr:spPr>
        <a:xfrm>
          <a:off x="1390650" y="11010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31</xdr:row>
      <xdr:rowOff>0</xdr:rowOff>
    </xdr:from>
    <xdr:ext cx="104775" cy="47625"/>
    <xdr:sp fLocksText="0">
      <xdr:nvSpPr>
        <xdr:cNvPr id="49" name="Text Box 4"/>
        <xdr:cNvSpPr txBox="1">
          <a:spLocks noChangeArrowheads="1"/>
        </xdr:cNvSpPr>
      </xdr:nvSpPr>
      <xdr:spPr>
        <a:xfrm>
          <a:off x="1390650" y="11010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31</xdr:row>
      <xdr:rowOff>0</xdr:rowOff>
    </xdr:from>
    <xdr:ext cx="104775" cy="47625"/>
    <xdr:sp fLocksText="0">
      <xdr:nvSpPr>
        <xdr:cNvPr id="50" name="Text Box 1"/>
        <xdr:cNvSpPr txBox="1">
          <a:spLocks noChangeArrowheads="1"/>
        </xdr:cNvSpPr>
      </xdr:nvSpPr>
      <xdr:spPr>
        <a:xfrm>
          <a:off x="1390650" y="11010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31</xdr:row>
      <xdr:rowOff>0</xdr:rowOff>
    </xdr:from>
    <xdr:ext cx="104775" cy="47625"/>
    <xdr:sp fLocksText="0">
      <xdr:nvSpPr>
        <xdr:cNvPr id="51" name="Text Box 4"/>
        <xdr:cNvSpPr txBox="1">
          <a:spLocks noChangeArrowheads="1"/>
        </xdr:cNvSpPr>
      </xdr:nvSpPr>
      <xdr:spPr>
        <a:xfrm>
          <a:off x="1390650" y="11010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31</xdr:row>
      <xdr:rowOff>0</xdr:rowOff>
    </xdr:from>
    <xdr:ext cx="104775" cy="47625"/>
    <xdr:sp fLocksText="0">
      <xdr:nvSpPr>
        <xdr:cNvPr id="52" name="Text Box 1"/>
        <xdr:cNvSpPr txBox="1">
          <a:spLocks noChangeArrowheads="1"/>
        </xdr:cNvSpPr>
      </xdr:nvSpPr>
      <xdr:spPr>
        <a:xfrm>
          <a:off x="1390650" y="11010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31</xdr:row>
      <xdr:rowOff>0</xdr:rowOff>
    </xdr:from>
    <xdr:ext cx="104775" cy="47625"/>
    <xdr:sp fLocksText="0">
      <xdr:nvSpPr>
        <xdr:cNvPr id="53" name="Text Box 4"/>
        <xdr:cNvSpPr txBox="1">
          <a:spLocks noChangeArrowheads="1"/>
        </xdr:cNvSpPr>
      </xdr:nvSpPr>
      <xdr:spPr>
        <a:xfrm>
          <a:off x="1390650" y="11010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31</xdr:row>
      <xdr:rowOff>0</xdr:rowOff>
    </xdr:from>
    <xdr:ext cx="104775" cy="47625"/>
    <xdr:sp fLocksText="0">
      <xdr:nvSpPr>
        <xdr:cNvPr id="54" name="Text Box 1"/>
        <xdr:cNvSpPr txBox="1">
          <a:spLocks noChangeArrowheads="1"/>
        </xdr:cNvSpPr>
      </xdr:nvSpPr>
      <xdr:spPr>
        <a:xfrm>
          <a:off x="1390650" y="11010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31</xdr:row>
      <xdr:rowOff>0</xdr:rowOff>
    </xdr:from>
    <xdr:ext cx="104775" cy="47625"/>
    <xdr:sp fLocksText="0">
      <xdr:nvSpPr>
        <xdr:cNvPr id="55" name="Text Box 4"/>
        <xdr:cNvSpPr txBox="1">
          <a:spLocks noChangeArrowheads="1"/>
        </xdr:cNvSpPr>
      </xdr:nvSpPr>
      <xdr:spPr>
        <a:xfrm>
          <a:off x="1390650" y="11010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31</xdr:row>
      <xdr:rowOff>0</xdr:rowOff>
    </xdr:from>
    <xdr:ext cx="104775" cy="47625"/>
    <xdr:sp fLocksText="0">
      <xdr:nvSpPr>
        <xdr:cNvPr id="56" name="Text Box 1"/>
        <xdr:cNvSpPr txBox="1">
          <a:spLocks noChangeArrowheads="1"/>
        </xdr:cNvSpPr>
      </xdr:nvSpPr>
      <xdr:spPr>
        <a:xfrm>
          <a:off x="1390650" y="11010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981075</xdr:colOff>
      <xdr:row>31</xdr:row>
      <xdr:rowOff>0</xdr:rowOff>
    </xdr:from>
    <xdr:ext cx="104775" cy="47625"/>
    <xdr:sp fLocksText="0">
      <xdr:nvSpPr>
        <xdr:cNvPr id="57" name="Text Box 4"/>
        <xdr:cNvSpPr txBox="1">
          <a:spLocks noChangeArrowheads="1"/>
        </xdr:cNvSpPr>
      </xdr:nvSpPr>
      <xdr:spPr>
        <a:xfrm>
          <a:off x="1390650" y="110109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EXCEL\RE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ver-dia\o\Documents%20and%20Settings\mayuree.k\My%20Documents\SET_SPC\SET2014\Documents%20and%20Settings\mayuree.k\My%20Documents\SET_SPC\SET%202013\SET%20Q3_2013\02%20Work\Audit\03%20Job%20DTTJ\working%20paper\Job\Herba%2009\8110%20Sales-Local%20Combined%20Leadshe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NKNA~1\AppData\Local\Temp\Rar$DIa0.574\NOTES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-admin\Desktop\&#3585;&#3634;&#3619;&#3588;&#3635;&#3609;&#3623;&#3603;&#3626;&#3634;&#3619;&#3632;&#3626;&#3635;&#3588;&#3633;&#3597;&#3626;&#3635;&#3627;&#3619;&#3633;&#3610;&#3585;&#3634;&#3619;&#3626;&#3629;&#3610;&#3607;&#3634;&#360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Users\-admin\Desktop\&#3585;&#3634;&#3619;&#3588;&#3635;&#3609;&#3623;&#3603;&#3626;&#3634;&#3619;&#3632;&#3626;&#3635;&#3588;&#3633;&#3597;&#3626;&#3635;&#3627;&#3619;&#3633;&#3610;&#3585;&#3634;&#3619;&#3626;&#3629;&#3610;&#3607;&#3634;&#360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ver-dia\o\Documents%20and%20Settings\XP\Desktop\BKK_TOWER\BKK_Q2'54_&#3619;&#3633;&#3610;&#3592;&#3634;&#3585;&#3614;&#3637;&#3656;&#3629;&#3657;&#3609;\K485%20BT(1999)%2003%20Other%20Working\K485%20BT%20MAT%2030.06.54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-polly\d\Documents%20and%20Settings\natthaporn\Desktop\test%20DP%2051%20lan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ver-dia\o\Documents%20and%20Settings\mayuree.k\My%20Documents\SET_SPC\SET2014\DIA\AEV\AEV_Q'4_54\working%20paper\A781%20AEV%20Lead%20Q4'54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02%20Work\Audit\03%20Job%20DTTJ\working%20paper\Job\Herba%2009\8110%20Sales-Local%20Combined%20Leadshee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%20Work\Audit\03%20Job%20DTTJ\working%20paper\Job\Herba%2009\8110%20Sales-Local%20Combined%20L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ULD"/>
      <sheetName val="lead"/>
      <sheetName val="B-3"/>
      <sheetName val="งบทดลอง - ต.ค.2547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  <sheetName val="Rollforward"/>
      <sheetName val="thershold"/>
      <sheetName val="Anaytical reviewed"/>
    </sheetNames>
    <sheetDataSet>
      <sheetData sheetId="0">
        <row r="2">
          <cell r="G2" t="str">
            <v>Preliminary</v>
          </cell>
          <cell r="I2" t="str">
            <v>AJE</v>
          </cell>
          <cell r="J2" t="str">
            <v>Adjusted</v>
          </cell>
          <cell r="K2" t="str">
            <v>RJE</v>
          </cell>
          <cell r="L2" t="str">
            <v>31/12/09</v>
          </cell>
          <cell r="N2" t="str">
            <v>31/12/08</v>
          </cell>
        </row>
        <row r="3">
          <cell r="G3" t="str">
            <v>GL</v>
          </cell>
          <cell r="N3" t="str">
            <v>{a}</v>
          </cell>
        </row>
        <row r="4">
          <cell r="G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N4">
            <v>0</v>
          </cell>
        </row>
        <row r="5">
          <cell r="G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N5">
            <v>0</v>
          </cell>
        </row>
        <row r="6"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</row>
        <row r="8"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</row>
        <row r="10">
          <cell r="G10">
            <v>-798123269.75</v>
          </cell>
          <cell r="I10">
            <v>0</v>
          </cell>
          <cell r="J10">
            <v>-798123269.75</v>
          </cell>
          <cell r="K10">
            <v>0</v>
          </cell>
          <cell r="L10">
            <v>-798123269.75</v>
          </cell>
          <cell r="N10">
            <v>-1015677465.16</v>
          </cell>
        </row>
        <row r="11">
          <cell r="G11">
            <v>-798123269.75</v>
          </cell>
          <cell r="I11">
            <v>0</v>
          </cell>
          <cell r="J11">
            <v>-798123269.75</v>
          </cell>
          <cell r="K11">
            <v>0</v>
          </cell>
          <cell r="L11">
            <v>-798123269.75</v>
          </cell>
          <cell r="N11">
            <v>-1015677465.16</v>
          </cell>
        </row>
        <row r="12">
          <cell r="G12">
            <v>-798123269.75</v>
          </cell>
          <cell r="I12">
            <v>0</v>
          </cell>
          <cell r="J12">
            <v>-798123269.75</v>
          </cell>
          <cell r="K12">
            <v>0</v>
          </cell>
          <cell r="L12">
            <v>-798123269.75</v>
          </cell>
          <cell r="N12">
            <v>-1015677465.16</v>
          </cell>
        </row>
      </sheetData>
      <sheetData sheetId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31/12/09</v>
          </cell>
          <cell r="K1" t="str">
            <v>31/12/08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-798123269.75</v>
          </cell>
          <cell r="G9">
            <v>0</v>
          </cell>
          <cell r="H9">
            <v>-798123269.75</v>
          </cell>
          <cell r="I9">
            <v>0</v>
          </cell>
          <cell r="J9">
            <v>-798123269.75</v>
          </cell>
          <cell r="K9">
            <v>-1015677465.16</v>
          </cell>
        </row>
        <row r="10">
          <cell r="F10">
            <v>-798123269.75</v>
          </cell>
          <cell r="G10">
            <v>0</v>
          </cell>
          <cell r="H10">
            <v>-798123269.75</v>
          </cell>
          <cell r="I10">
            <v>0</v>
          </cell>
          <cell r="J10">
            <v>-798123269.75</v>
          </cell>
          <cell r="K10">
            <v>-1015677465.16</v>
          </cell>
        </row>
        <row r="11">
          <cell r="F11">
            <v>-798123269.75</v>
          </cell>
          <cell r="G11">
            <v>0</v>
          </cell>
          <cell r="H11">
            <v>-798123269.75</v>
          </cell>
          <cell r="I11">
            <v>0</v>
          </cell>
          <cell r="J11">
            <v>-798123269.75</v>
          </cell>
          <cell r="K11">
            <v>-1015677465.16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 p1-9"/>
      <sheetName val="Note p10-18"/>
      <sheetName val="P19-20"/>
      <sheetName val="P21"/>
      <sheetName val="P22-23"/>
      <sheetName val="P24-26"/>
      <sheetName val="P27"/>
      <sheetName val="P28-29"/>
      <sheetName val="P30"/>
      <sheetName val="P31"/>
      <sheetName val="P32"/>
      <sheetName val="P33-42"/>
      <sheetName val="P43"/>
      <sheetName val="P44-47"/>
      <sheetName val="P48"/>
      <sheetName val="P49-50"/>
      <sheetName val="P51-54"/>
      <sheetName val="P55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คำนวณ Review"/>
      <sheetName val="แนวทางการวิเคราะห์"/>
      <sheetName val="EX 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คำนวณ Review"/>
      <sheetName val="แนวทางการวิเคราะห์"/>
      <sheetName val="EX 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คำนวณ Review"/>
      <sheetName val="แนวทางการวิเคราะห์"/>
      <sheetName val="EX 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est DP"/>
      <sheetName val="test DP ส่ง"/>
      <sheetName val="อาคาร Per Audit"/>
      <sheetName val="อาคาร"/>
      <sheetName val="อุปกรณ์เครื่องแพทย์ _2_Audit"/>
      <sheetName val="อุปกรณ์เครื่องแพทย์ _2_"/>
      <sheetName val="อุปกรณ์เครื่องแพทย์ Audit"/>
      <sheetName val="อุปกรณ์เครื่องแพทย์"/>
      <sheetName val="เครื่องตกแต่งและติดตั้ง 2Audit"/>
      <sheetName val="เครื่องตกแต่งและติดตั้ง _2_"/>
      <sheetName val="เครื่องตกแต่งและติดตั้ง Audit"/>
      <sheetName val="เครื่องตกแต่งและติดตั้ง"/>
      <sheetName val="เครื่องมือเครื่องใช้ _2_"/>
      <sheetName val="เครื่องมือเครื่องใช้"/>
      <sheetName val="ยานพาหนะ _2_"/>
      <sheetName val="ยานพาหนะ"/>
      <sheetName val="เครื่องใช้สำนักงาน _2_"/>
      <sheetName val="เครื่องใช้สำนักงาน"/>
    </sheetNames>
    <sheetDataSet>
      <sheetData sheetId="5">
        <row r="1">
          <cell r="B1" t="str">
            <v>                                                                       อุปกรณ์เครื่องมือแพทย์ 10%)   ปี 2551  (1650 / 1651)</v>
          </cell>
        </row>
        <row r="2">
          <cell r="B2" t="str">
            <v>          รายการสินทรัพย์</v>
          </cell>
          <cell r="C2" t="str">
            <v>        ราคาทุน</v>
          </cell>
          <cell r="D2" t="str">
            <v>วันที่เริ่มใช้</v>
          </cell>
          <cell r="E2" t="str">
            <v>รหัส</v>
          </cell>
          <cell r="F2" t="str">
            <v>แผนกที่ใช้</v>
          </cell>
          <cell r="G2" t="str">
            <v>จำนวน</v>
          </cell>
          <cell r="H2" t="str">
            <v>      %</v>
          </cell>
          <cell r="I2" t="str">
            <v>    คสส.ยกมา'50</v>
          </cell>
          <cell r="J2" t="str">
            <v>   มกราคม</v>
          </cell>
          <cell r="K2" t="str">
            <v> กุมภาพันธ์</v>
          </cell>
          <cell r="L2" t="str">
            <v>   มีนาคม </v>
          </cell>
          <cell r="M2" t="str">
            <v>  เมษายน</v>
          </cell>
          <cell r="N2" t="str">
            <v>พฤษภาคม</v>
          </cell>
          <cell r="O2" t="str">
            <v>  มิถุนายน</v>
          </cell>
          <cell r="P2" t="str">
            <v>กรกฎาคม</v>
          </cell>
          <cell r="Q2" t="str">
            <v>สิงหาคม</v>
          </cell>
          <cell r="R2" t="str">
            <v>กันยายน</v>
          </cell>
          <cell r="S2" t="str">
            <v>ตุลาคม</v>
          </cell>
          <cell r="T2" t="str">
            <v>พฤศจิกายน</v>
          </cell>
          <cell r="U2" t="str">
            <v>ธันวาคม</v>
          </cell>
        </row>
      </sheetData>
      <sheetData sheetId="13">
        <row r="1">
          <cell r="B1" t="str">
            <v>                                                                       เครื่องมือเครื่องใช้  (10%)   ปี 2551  (1670 / 1671)</v>
          </cell>
        </row>
        <row r="2">
          <cell r="B2" t="str">
            <v>          รายการสินทรัพย์</v>
          </cell>
          <cell r="C2" t="str">
            <v>        ราคาทุน</v>
          </cell>
          <cell r="D2" t="str">
            <v>วันที่เริ่มใช้</v>
          </cell>
          <cell r="E2" t="str">
            <v>รหัส</v>
          </cell>
          <cell r="F2" t="str">
            <v>แผนกที่ใช้</v>
          </cell>
          <cell r="G2" t="str">
            <v>จำนวน</v>
          </cell>
          <cell r="H2" t="str">
            <v>  คสส.ยกมา'50</v>
          </cell>
          <cell r="I2" t="str">
            <v>    %</v>
          </cell>
          <cell r="J2" t="str">
            <v>   มกราคม</v>
          </cell>
          <cell r="K2" t="str">
            <v> กุมภาพันธ์</v>
          </cell>
          <cell r="L2" t="str">
            <v>   มีนาคม </v>
          </cell>
          <cell r="M2" t="str">
            <v>  เมษายน</v>
          </cell>
          <cell r="N2" t="str">
            <v>พฤษภาคม</v>
          </cell>
          <cell r="O2" t="str">
            <v>  มิถุนายน</v>
          </cell>
          <cell r="P2" t="str">
            <v>กรกฎาคม</v>
          </cell>
          <cell r="Q2" t="str">
            <v>สิงหาคม</v>
          </cell>
          <cell r="R2" t="str">
            <v>กันยายน</v>
          </cell>
          <cell r="S2" t="str">
            <v>ตุลาคม</v>
          </cell>
          <cell r="T2" t="str">
            <v>พฤศจิกายน</v>
          </cell>
          <cell r="U2" t="str">
            <v>ธันวาคม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PBR"/>
      <sheetName val="ADJ"/>
      <sheetName val="REJ"/>
      <sheetName val="RFS"/>
      <sheetName val="RPL"/>
      <sheetName val="PEN"/>
      <sheetName val="FS1 "/>
      <sheetName val="FS2"/>
      <sheetName val="WLS-1"/>
      <sheetName val="WLS-2"/>
      <sheetName val="WLS-3"/>
      <sheetName val="POB"/>
      <sheetName val="WDR"/>
      <sheetName val="WDR1"/>
      <sheetName val="Index"/>
      <sheetName val="WTAX"/>
      <sheetName val="MAT"/>
      <sheetName val="AB"/>
      <sheetName val="A"/>
      <sheetName val="D"/>
      <sheetName val="WP_D"/>
      <sheetName val="10"/>
      <sheetName val="I"/>
      <sheetName val="WP_I"/>
      <sheetName val="FA"/>
      <sheetName val="WP_FA"/>
      <sheetName val="II"/>
      <sheetName val="SE"/>
      <sheetName val="40"/>
      <sheetName val="5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  <sheetName val="Rollforward"/>
      <sheetName val="thershold"/>
      <sheetName val="Anaytical reviewed"/>
    </sheetNames>
    <sheetDataSet>
      <sheetData sheetId="0">
        <row r="2">
          <cell r="G2" t="str">
            <v>Preliminary</v>
          </cell>
          <cell r="I2" t="str">
            <v>AJE</v>
          </cell>
          <cell r="J2" t="str">
            <v>Adjusted</v>
          </cell>
          <cell r="K2" t="str">
            <v>RJE</v>
          </cell>
          <cell r="L2" t="str">
            <v>31/12/09</v>
          </cell>
          <cell r="N2" t="str">
            <v>31/12/08</v>
          </cell>
        </row>
        <row r="3">
          <cell r="G3" t="str">
            <v>GL</v>
          </cell>
          <cell r="N3" t="str">
            <v>{a}</v>
          </cell>
        </row>
        <row r="4">
          <cell r="G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N4">
            <v>0</v>
          </cell>
        </row>
        <row r="5">
          <cell r="G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N5">
            <v>0</v>
          </cell>
        </row>
        <row r="6"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</row>
        <row r="8"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</row>
        <row r="10">
          <cell r="G10">
            <v>-798123269.75</v>
          </cell>
          <cell r="I10">
            <v>0</v>
          </cell>
          <cell r="J10">
            <v>-798123269.75</v>
          </cell>
          <cell r="K10">
            <v>0</v>
          </cell>
          <cell r="L10">
            <v>-798123269.75</v>
          </cell>
          <cell r="N10">
            <v>-1015677465.16</v>
          </cell>
        </row>
        <row r="11">
          <cell r="G11">
            <v>-798123269.75</v>
          </cell>
          <cell r="I11">
            <v>0</v>
          </cell>
          <cell r="J11">
            <v>-798123269.75</v>
          </cell>
          <cell r="K11">
            <v>0</v>
          </cell>
          <cell r="L11">
            <v>-798123269.75</v>
          </cell>
          <cell r="N11">
            <v>-1015677465.16</v>
          </cell>
        </row>
        <row r="12">
          <cell r="G12">
            <v>-798123269.75</v>
          </cell>
          <cell r="I12">
            <v>0</v>
          </cell>
          <cell r="J12">
            <v>-798123269.75</v>
          </cell>
          <cell r="K12">
            <v>0</v>
          </cell>
          <cell r="L12">
            <v>-798123269.75</v>
          </cell>
          <cell r="N12">
            <v>-1015677465.16</v>
          </cell>
        </row>
      </sheetData>
      <sheetData sheetId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31/12/09</v>
          </cell>
          <cell r="K1" t="str">
            <v>31/12/08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-798123269.75</v>
          </cell>
          <cell r="G9">
            <v>0</v>
          </cell>
          <cell r="H9">
            <v>-798123269.75</v>
          </cell>
          <cell r="I9">
            <v>0</v>
          </cell>
          <cell r="J9">
            <v>-798123269.75</v>
          </cell>
          <cell r="K9">
            <v>-1015677465.16</v>
          </cell>
        </row>
        <row r="10">
          <cell r="F10">
            <v>-798123269.75</v>
          </cell>
          <cell r="G10">
            <v>0</v>
          </cell>
          <cell r="H10">
            <v>-798123269.75</v>
          </cell>
          <cell r="I10">
            <v>0</v>
          </cell>
          <cell r="J10">
            <v>-798123269.75</v>
          </cell>
          <cell r="K10">
            <v>-1015677465.16</v>
          </cell>
        </row>
        <row r="11">
          <cell r="F11">
            <v>-798123269.75</v>
          </cell>
          <cell r="G11">
            <v>0</v>
          </cell>
          <cell r="H11">
            <v>-798123269.75</v>
          </cell>
          <cell r="I11">
            <v>0</v>
          </cell>
          <cell r="J11">
            <v>-798123269.75</v>
          </cell>
          <cell r="K11">
            <v>-1015677465.16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  <sheetName val="Rollforward"/>
      <sheetName val="thershold"/>
      <sheetName val="Anaytical reviewed"/>
    </sheetNames>
    <sheetDataSet>
      <sheetData sheetId="0">
        <row r="2">
          <cell r="G2" t="str">
            <v>Preliminary</v>
          </cell>
          <cell r="I2" t="str">
            <v>AJE</v>
          </cell>
          <cell r="J2" t="str">
            <v>Adjusted</v>
          </cell>
          <cell r="K2" t="str">
            <v>RJE</v>
          </cell>
          <cell r="L2" t="str">
            <v>31/12/09</v>
          </cell>
          <cell r="N2" t="str">
            <v>31/12/08</v>
          </cell>
        </row>
        <row r="3">
          <cell r="G3" t="str">
            <v>GL</v>
          </cell>
          <cell r="N3" t="str">
            <v>{a}</v>
          </cell>
        </row>
        <row r="4">
          <cell r="G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N4">
            <v>0</v>
          </cell>
        </row>
        <row r="5">
          <cell r="G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N5">
            <v>0</v>
          </cell>
        </row>
        <row r="6"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</row>
        <row r="8"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</row>
        <row r="10">
          <cell r="G10">
            <v>-798123269.75</v>
          </cell>
          <cell r="I10">
            <v>0</v>
          </cell>
          <cell r="J10">
            <v>-798123269.75</v>
          </cell>
          <cell r="K10">
            <v>0</v>
          </cell>
          <cell r="L10">
            <v>-798123269.75</v>
          </cell>
          <cell r="N10">
            <v>-1015677465.16</v>
          </cell>
        </row>
        <row r="11">
          <cell r="G11">
            <v>-798123269.75</v>
          </cell>
          <cell r="I11">
            <v>0</v>
          </cell>
          <cell r="J11">
            <v>-798123269.75</v>
          </cell>
          <cell r="K11">
            <v>0</v>
          </cell>
          <cell r="L11">
            <v>-798123269.75</v>
          </cell>
          <cell r="N11">
            <v>-1015677465.16</v>
          </cell>
        </row>
      </sheetData>
      <sheetData sheetId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31/12/09</v>
          </cell>
          <cell r="K1" t="str">
            <v>31/12/08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-798123269.75</v>
          </cell>
          <cell r="G9">
            <v>0</v>
          </cell>
          <cell r="H9">
            <v>-798123269.75</v>
          </cell>
          <cell r="I9">
            <v>0</v>
          </cell>
          <cell r="J9">
            <v>-798123269.75</v>
          </cell>
          <cell r="K9">
            <v>-1015677465.16</v>
          </cell>
        </row>
        <row r="10">
          <cell r="F10">
            <v>-798123269.75</v>
          </cell>
          <cell r="G10">
            <v>0</v>
          </cell>
          <cell r="H10">
            <v>-798123269.75</v>
          </cell>
          <cell r="I10">
            <v>0</v>
          </cell>
          <cell r="J10">
            <v>-798123269.75</v>
          </cell>
          <cell r="K10">
            <v>-1015677465.16</v>
          </cell>
        </row>
        <row r="11">
          <cell r="F11">
            <v>-798123269.75</v>
          </cell>
          <cell r="G11">
            <v>0</v>
          </cell>
          <cell r="H11">
            <v>-798123269.75</v>
          </cell>
          <cell r="I11">
            <v>0</v>
          </cell>
          <cell r="J11">
            <v>-798123269.75</v>
          </cell>
          <cell r="K11">
            <v>-1015677465.16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6"/>
  <sheetViews>
    <sheetView tabSelected="1" zoomScaleSheetLayoutView="110" workbookViewId="0" topLeftCell="A1">
      <selection activeCell="A3" sqref="A3"/>
    </sheetView>
  </sheetViews>
  <sheetFormatPr defaultColWidth="11.421875" defaultRowHeight="25.5" customHeight="1"/>
  <cols>
    <col min="1" max="1" width="11.421875" style="473" customWidth="1"/>
    <col min="2" max="2" width="20.8515625" style="473" customWidth="1"/>
    <col min="3" max="3" width="3.28125" style="473" customWidth="1"/>
    <col min="4" max="4" width="1.7109375" style="473" customWidth="1"/>
    <col min="5" max="5" width="16.57421875" style="473" customWidth="1"/>
    <col min="6" max="6" width="1.7109375" style="473" customWidth="1"/>
    <col min="7" max="7" width="14.421875" style="473" customWidth="1"/>
    <col min="8" max="8" width="1.7109375" style="473" customWidth="1"/>
    <col min="9" max="9" width="12.7109375" style="473" customWidth="1"/>
    <col min="10" max="10" width="1.7109375" style="473" customWidth="1"/>
    <col min="11" max="11" width="19.28125" style="473" customWidth="1"/>
    <col min="12" max="12" width="1.7109375" style="473" customWidth="1"/>
    <col min="13" max="13" width="16.7109375" style="473" customWidth="1"/>
    <col min="14" max="14" width="1.28515625" style="473" customWidth="1"/>
    <col min="15" max="16384" width="11.421875" style="473" customWidth="1"/>
  </cols>
  <sheetData>
    <row r="1" spans="1:14" s="429" customFormat="1" ht="25.5" customHeight="1">
      <c r="A1" s="427" t="s">
        <v>887</v>
      </c>
      <c r="B1" s="427"/>
      <c r="C1" s="427"/>
      <c r="D1" s="427"/>
      <c r="E1" s="427"/>
      <c r="F1" s="427"/>
      <c r="G1" s="427"/>
      <c r="H1" s="427"/>
      <c r="I1" s="427"/>
      <c r="J1" s="427"/>
      <c r="K1" s="428"/>
      <c r="L1" s="427"/>
      <c r="M1" s="428"/>
      <c r="N1" s="428"/>
    </row>
    <row r="2" spans="1:14" s="429" customFormat="1" ht="25.5" customHeight="1">
      <c r="A2" s="427" t="s">
        <v>205</v>
      </c>
      <c r="B2" s="427"/>
      <c r="C2" s="427"/>
      <c r="D2" s="427"/>
      <c r="E2" s="427"/>
      <c r="F2" s="427"/>
      <c r="G2" s="427"/>
      <c r="H2" s="427"/>
      <c r="I2" s="427"/>
      <c r="J2" s="427"/>
      <c r="K2" s="428"/>
      <c r="L2" s="427"/>
      <c r="M2" s="428"/>
      <c r="N2" s="428"/>
    </row>
    <row r="3" spans="1:14" s="429" customFormat="1" ht="25.5" customHeight="1">
      <c r="A3" s="427" t="s">
        <v>886</v>
      </c>
      <c r="B3" s="427"/>
      <c r="C3" s="427"/>
      <c r="D3" s="427"/>
      <c r="E3" s="427"/>
      <c r="F3" s="427"/>
      <c r="G3" s="427"/>
      <c r="H3" s="427"/>
      <c r="I3" s="427"/>
      <c r="J3" s="427"/>
      <c r="K3" s="428"/>
      <c r="L3" s="427"/>
      <c r="M3" s="428"/>
      <c r="N3" s="428"/>
    </row>
    <row r="4" spans="1:19" s="432" customFormat="1" ht="13.5" customHeight="1">
      <c r="A4" s="1154"/>
      <c r="B4" s="1154"/>
      <c r="C4" s="1154"/>
      <c r="D4" s="1154"/>
      <c r="E4" s="1154"/>
      <c r="F4" s="1154"/>
      <c r="G4" s="1154"/>
      <c r="H4" s="1154"/>
      <c r="I4" s="1154"/>
      <c r="J4" s="1154"/>
      <c r="K4" s="1154"/>
      <c r="L4" s="1154"/>
      <c r="M4" s="1154"/>
      <c r="N4" s="430"/>
      <c r="O4" s="430"/>
      <c r="P4" s="431"/>
      <c r="Q4" s="431"/>
      <c r="R4" s="431"/>
      <c r="S4" s="431"/>
    </row>
    <row r="5" spans="1:12" s="312" customFormat="1" ht="25.5" customHeight="1">
      <c r="A5" s="132" t="s">
        <v>619</v>
      </c>
      <c r="B5" s="132"/>
      <c r="C5" s="136"/>
      <c r="D5" s="136"/>
      <c r="E5" s="136"/>
      <c r="F5" s="136"/>
      <c r="G5" s="136"/>
      <c r="H5" s="136"/>
      <c r="I5" s="136"/>
      <c r="J5" s="136"/>
      <c r="L5" s="136"/>
    </row>
    <row r="6" spans="1:12" s="312" customFormat="1" ht="25.5" customHeight="1">
      <c r="A6" s="130" t="s">
        <v>1906</v>
      </c>
      <c r="C6" s="136"/>
      <c r="D6" s="136"/>
      <c r="E6" s="136"/>
      <c r="F6" s="136"/>
      <c r="G6" s="136"/>
      <c r="H6" s="136"/>
      <c r="I6" s="136"/>
      <c r="J6" s="136"/>
      <c r="L6" s="136"/>
    </row>
    <row r="7" spans="1:12" s="312" customFormat="1" ht="25.5" customHeight="1">
      <c r="A7" s="136" t="s">
        <v>1907</v>
      </c>
      <c r="B7" s="136"/>
      <c r="C7" s="136"/>
      <c r="D7" s="136"/>
      <c r="E7" s="136"/>
      <c r="F7" s="136"/>
      <c r="G7" s="136"/>
      <c r="H7" s="136"/>
      <c r="I7" s="136"/>
      <c r="J7" s="136"/>
      <c r="L7" s="136"/>
    </row>
    <row r="8" spans="2:12" s="312" customFormat="1" ht="25.5" customHeight="1">
      <c r="B8" s="130" t="s">
        <v>562</v>
      </c>
      <c r="C8" s="136"/>
      <c r="D8" s="136"/>
      <c r="E8" s="136"/>
      <c r="F8" s="136"/>
      <c r="G8" s="136"/>
      <c r="H8" s="136"/>
      <c r="I8" s="136"/>
      <c r="J8" s="136"/>
      <c r="L8" s="136"/>
    </row>
    <row r="9" spans="2:12" s="312" customFormat="1" ht="25.5" customHeight="1">
      <c r="B9" s="136" t="s">
        <v>206</v>
      </c>
      <c r="C9" s="136"/>
      <c r="D9" s="136"/>
      <c r="E9" s="136"/>
      <c r="F9" s="136"/>
      <c r="G9" s="136"/>
      <c r="H9" s="136"/>
      <c r="I9" s="136"/>
      <c r="J9" s="136"/>
      <c r="L9" s="136"/>
    </row>
    <row r="10" spans="2:12" s="312" customFormat="1" ht="25.5" customHeight="1">
      <c r="B10" s="136" t="s">
        <v>237</v>
      </c>
      <c r="C10" s="136"/>
      <c r="D10" s="136"/>
      <c r="E10" s="136"/>
      <c r="F10" s="136"/>
      <c r="G10" s="136"/>
      <c r="H10" s="136"/>
      <c r="I10" s="136"/>
      <c r="J10" s="136"/>
      <c r="L10" s="136"/>
    </row>
    <row r="11" spans="2:12" s="312" customFormat="1" ht="25.5" customHeight="1">
      <c r="B11" s="136" t="s">
        <v>207</v>
      </c>
      <c r="C11" s="136"/>
      <c r="D11" s="136"/>
      <c r="E11" s="136"/>
      <c r="F11" s="136"/>
      <c r="G11" s="136"/>
      <c r="H11" s="136"/>
      <c r="I11" s="136"/>
      <c r="J11" s="136"/>
      <c r="L11" s="136"/>
    </row>
    <row r="12" spans="2:12" s="312" customFormat="1" ht="25.5" customHeight="1">
      <c r="B12" s="433" t="s">
        <v>371</v>
      </c>
      <c r="C12" s="136"/>
      <c r="D12" s="136"/>
      <c r="E12" s="136"/>
      <c r="F12" s="136"/>
      <c r="G12" s="136"/>
      <c r="H12" s="136"/>
      <c r="I12" s="136"/>
      <c r="J12" s="136"/>
      <c r="L12" s="136"/>
    </row>
    <row r="13" spans="2:12" s="312" customFormat="1" ht="25.5" customHeight="1">
      <c r="B13" s="433" t="s">
        <v>234</v>
      </c>
      <c r="C13" s="136"/>
      <c r="D13" s="136"/>
      <c r="E13" s="136"/>
      <c r="F13" s="136"/>
      <c r="G13" s="136"/>
      <c r="H13" s="136"/>
      <c r="I13" s="136"/>
      <c r="J13" s="136"/>
      <c r="L13" s="136"/>
    </row>
    <row r="14" spans="2:12" s="312" customFormat="1" ht="25.5" customHeight="1">
      <c r="B14" s="433" t="s">
        <v>539</v>
      </c>
      <c r="C14" s="136"/>
      <c r="D14" s="136"/>
      <c r="E14" s="136"/>
      <c r="F14" s="136"/>
      <c r="G14" s="136"/>
      <c r="H14" s="136"/>
      <c r="I14" s="136"/>
      <c r="J14" s="136"/>
      <c r="L14" s="136"/>
    </row>
    <row r="15" spans="1:12" s="312" customFormat="1" ht="25.5" customHeight="1">
      <c r="A15" s="130" t="s">
        <v>888</v>
      </c>
      <c r="C15" s="136"/>
      <c r="D15" s="136"/>
      <c r="E15" s="136"/>
      <c r="F15" s="136"/>
      <c r="G15" s="136"/>
      <c r="H15" s="136"/>
      <c r="J15" s="136"/>
      <c r="L15" s="136"/>
    </row>
    <row r="16" spans="1:12" s="312" customFormat="1" ht="25.5" customHeight="1">
      <c r="A16" s="130" t="s">
        <v>889</v>
      </c>
      <c r="C16" s="136"/>
      <c r="D16" s="136"/>
      <c r="E16" s="136"/>
      <c r="F16" s="136"/>
      <c r="G16" s="136"/>
      <c r="H16" s="136"/>
      <c r="J16" s="136"/>
      <c r="L16" s="136"/>
    </row>
    <row r="17" spans="1:12" s="312" customFormat="1" ht="25.5" customHeight="1">
      <c r="A17" s="130" t="s">
        <v>890</v>
      </c>
      <c r="C17" s="136"/>
      <c r="D17" s="136"/>
      <c r="E17" s="136"/>
      <c r="F17" s="136"/>
      <c r="G17" s="136"/>
      <c r="H17" s="136"/>
      <c r="J17" s="136"/>
      <c r="L17" s="136"/>
    </row>
    <row r="18" spans="1:13" s="436" customFormat="1" ht="23.25">
      <c r="A18" s="434"/>
      <c r="B18" s="432"/>
      <c r="C18" s="432"/>
      <c r="D18" s="432"/>
      <c r="E18" s="435"/>
      <c r="F18" s="435"/>
      <c r="G18" s="435"/>
      <c r="H18" s="435"/>
      <c r="I18" s="435"/>
      <c r="J18" s="435"/>
      <c r="K18" s="435"/>
      <c r="L18" s="435"/>
      <c r="M18" s="435"/>
    </row>
    <row r="19" spans="1:12" s="131" customFormat="1" ht="25.5" customHeight="1">
      <c r="A19" s="386" t="s">
        <v>1597</v>
      </c>
      <c r="B19" s="132"/>
      <c r="C19" s="136"/>
      <c r="D19" s="136"/>
      <c r="E19" s="136"/>
      <c r="F19" s="144"/>
      <c r="G19" s="136"/>
      <c r="H19" s="136"/>
      <c r="L19" s="136"/>
    </row>
    <row r="20" spans="1:10" s="55" customFormat="1" ht="25.5" customHeight="1">
      <c r="A20" s="384" t="s">
        <v>1598</v>
      </c>
      <c r="B20" s="44"/>
      <c r="C20" s="45"/>
      <c r="D20" s="45"/>
      <c r="E20" s="45"/>
      <c r="F20" s="383"/>
      <c r="G20" s="45"/>
      <c r="H20" s="45"/>
      <c r="I20" s="45"/>
      <c r="J20" s="45"/>
    </row>
    <row r="21" spans="1:10" s="55" customFormat="1" ht="25.5" customHeight="1">
      <c r="A21" s="56"/>
      <c r="B21" s="44" t="s">
        <v>1617</v>
      </c>
      <c r="C21" s="45"/>
      <c r="D21" s="45"/>
      <c r="E21" s="45"/>
      <c r="F21" s="383"/>
      <c r="G21" s="45"/>
      <c r="H21" s="45"/>
      <c r="I21" s="45"/>
      <c r="J21" s="45"/>
    </row>
    <row r="22" spans="1:10" s="55" customFormat="1" ht="25.5" customHeight="1">
      <c r="A22" s="44" t="s">
        <v>1618</v>
      </c>
      <c r="C22" s="44"/>
      <c r="D22" s="44"/>
      <c r="E22" s="44"/>
      <c r="F22" s="44"/>
      <c r="G22" s="44"/>
      <c r="H22" s="44"/>
      <c r="I22" s="44"/>
      <c r="J22" s="45"/>
    </row>
    <row r="23" spans="1:10" s="55" customFormat="1" ht="25.5" customHeight="1">
      <c r="A23" s="44" t="s">
        <v>1619</v>
      </c>
      <c r="B23" s="44"/>
      <c r="C23" s="44"/>
      <c r="D23" s="44"/>
      <c r="E23" s="44"/>
      <c r="F23" s="44"/>
      <c r="G23" s="44"/>
      <c r="H23" s="44"/>
      <c r="I23" s="44"/>
      <c r="J23" s="45"/>
    </row>
    <row r="24" spans="1:12" s="131" customFormat="1" ht="25.5" customHeight="1">
      <c r="A24" s="44"/>
      <c r="B24" s="44" t="s">
        <v>1621</v>
      </c>
      <c r="C24" s="130"/>
      <c r="D24" s="130"/>
      <c r="E24" s="130"/>
      <c r="F24" s="130"/>
      <c r="G24" s="130"/>
      <c r="H24" s="136"/>
      <c r="L24" s="136"/>
    </row>
    <row r="25" spans="1:12" s="131" customFormat="1" ht="25.5" customHeight="1">
      <c r="A25" s="44" t="s">
        <v>1620</v>
      </c>
      <c r="B25" s="44"/>
      <c r="C25" s="130"/>
      <c r="D25" s="130"/>
      <c r="E25" s="130"/>
      <c r="F25" s="130"/>
      <c r="G25" s="130"/>
      <c r="H25" s="136"/>
      <c r="L25" s="136"/>
    </row>
    <row r="26" spans="1:12" s="131" customFormat="1" ht="25.5" customHeight="1">
      <c r="A26" s="136"/>
      <c r="B26" s="130" t="s">
        <v>1622</v>
      </c>
      <c r="C26" s="130"/>
      <c r="D26" s="130"/>
      <c r="E26" s="130"/>
      <c r="F26" s="130"/>
      <c r="G26" s="130"/>
      <c r="H26" s="136"/>
      <c r="L26" s="136"/>
    </row>
    <row r="27" spans="1:12" s="131" customFormat="1" ht="25.5" customHeight="1">
      <c r="A27" s="136" t="s">
        <v>426</v>
      </c>
      <c r="B27" s="130"/>
      <c r="C27" s="130"/>
      <c r="D27" s="130"/>
      <c r="E27" s="130"/>
      <c r="F27" s="130"/>
      <c r="G27" s="130"/>
      <c r="H27" s="136"/>
      <c r="L27" s="136"/>
    </row>
    <row r="28" spans="1:12" s="131" customFormat="1" ht="25.5" customHeight="1">
      <c r="A28" s="442" t="s">
        <v>1599</v>
      </c>
      <c r="B28" s="130"/>
      <c r="C28" s="130"/>
      <c r="D28" s="130"/>
      <c r="E28" s="130"/>
      <c r="F28" s="130"/>
      <c r="G28" s="130"/>
      <c r="H28" s="136"/>
      <c r="L28" s="136"/>
    </row>
    <row r="29" spans="1:12" s="437" customFormat="1" ht="25.5" customHeight="1">
      <c r="A29" s="442"/>
      <c r="B29" s="437" t="s">
        <v>1601</v>
      </c>
      <c r="F29" s="131"/>
      <c r="H29" s="441"/>
      <c r="L29" s="441"/>
    </row>
    <row r="30" spans="1:12" s="131" customFormat="1" ht="25.5" customHeight="1">
      <c r="A30" s="136" t="s">
        <v>1602</v>
      </c>
      <c r="B30" s="130"/>
      <c r="C30" s="130"/>
      <c r="D30" s="130"/>
      <c r="E30" s="130"/>
      <c r="F30" s="130"/>
      <c r="G30" s="130"/>
      <c r="H30" s="136"/>
      <c r="L30" s="136"/>
    </row>
    <row r="31" spans="1:12" s="131" customFormat="1" ht="25.5" customHeight="1">
      <c r="A31" s="136"/>
      <c r="B31" s="130" t="s">
        <v>1603</v>
      </c>
      <c r="C31" s="130"/>
      <c r="D31" s="130"/>
      <c r="E31" s="130"/>
      <c r="F31" s="130"/>
      <c r="G31" s="130"/>
      <c r="H31" s="136"/>
      <c r="L31" s="136"/>
    </row>
    <row r="32" spans="1:12" s="131" customFormat="1" ht="25.5" customHeight="1">
      <c r="A32" s="136" t="s">
        <v>1604</v>
      </c>
      <c r="B32" s="130"/>
      <c r="C32" s="130"/>
      <c r="D32" s="130"/>
      <c r="E32" s="130"/>
      <c r="F32" s="130"/>
      <c r="G32" s="130"/>
      <c r="H32" s="136"/>
      <c r="L32" s="136"/>
    </row>
    <row r="33" spans="1:12" s="131" customFormat="1" ht="25.5" customHeight="1">
      <c r="A33" s="136" t="s">
        <v>1605</v>
      </c>
      <c r="B33" s="130"/>
      <c r="C33" s="130"/>
      <c r="D33" s="130"/>
      <c r="E33" s="130"/>
      <c r="F33" s="130"/>
      <c r="G33" s="130"/>
      <c r="H33" s="136"/>
      <c r="L33" s="136"/>
    </row>
    <row r="34" spans="1:12" s="131" customFormat="1" ht="25.5" customHeight="1">
      <c r="A34" s="136" t="s">
        <v>1606</v>
      </c>
      <c r="B34" s="130"/>
      <c r="C34" s="130"/>
      <c r="D34" s="130"/>
      <c r="E34" s="130"/>
      <c r="F34" s="130"/>
      <c r="G34" s="130"/>
      <c r="H34" s="136"/>
      <c r="L34" s="136"/>
    </row>
    <row r="35" spans="1:12" s="131" customFormat="1" ht="25.5" customHeight="1">
      <c r="A35" s="131" t="s">
        <v>1607</v>
      </c>
      <c r="B35" s="130"/>
      <c r="C35" s="130"/>
      <c r="D35" s="130"/>
      <c r="E35" s="130"/>
      <c r="F35" s="130"/>
      <c r="G35" s="130"/>
      <c r="H35" s="136"/>
      <c r="L35" s="136"/>
    </row>
    <row r="36" spans="1:12" s="131" customFormat="1" ht="25.5" customHeight="1">
      <c r="A36" s="136" t="s">
        <v>1608</v>
      </c>
      <c r="B36" s="130"/>
      <c r="C36" s="130"/>
      <c r="D36" s="130"/>
      <c r="E36" s="130"/>
      <c r="F36" s="130"/>
      <c r="G36" s="130"/>
      <c r="H36" s="136"/>
      <c r="L36" s="136"/>
    </row>
    <row r="37" spans="1:12" s="131" customFormat="1" ht="2.25" customHeight="1">
      <c r="A37" s="136"/>
      <c r="B37" s="130"/>
      <c r="C37" s="130"/>
      <c r="D37" s="130"/>
      <c r="E37" s="130"/>
      <c r="F37" s="130"/>
      <c r="G37" s="130"/>
      <c r="H37" s="136"/>
      <c r="L37" s="136"/>
    </row>
    <row r="38" spans="1:12" s="131" customFormat="1" ht="23.25">
      <c r="A38" s="136"/>
      <c r="B38" s="130"/>
      <c r="C38" s="130"/>
      <c r="D38" s="130"/>
      <c r="E38" s="130"/>
      <c r="F38" s="130"/>
      <c r="G38" s="130"/>
      <c r="H38" s="136"/>
      <c r="L38" s="136"/>
    </row>
    <row r="39" spans="1:13" s="437" customFormat="1" ht="25.5" customHeight="1">
      <c r="A39" s="138" t="s">
        <v>891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</row>
    <row r="40" spans="1:14" s="436" customFormat="1" ht="25.5" customHeight="1">
      <c r="A40" s="145" t="s">
        <v>892</v>
      </c>
      <c r="B40" s="438"/>
      <c r="C40" s="438"/>
      <c r="D40" s="438"/>
      <c r="E40" s="439"/>
      <c r="F40" s="439"/>
      <c r="G40" s="439"/>
      <c r="H40" s="439"/>
      <c r="I40" s="439"/>
      <c r="J40" s="439"/>
      <c r="K40" s="439"/>
      <c r="L40" s="439"/>
      <c r="M40" s="439"/>
      <c r="N40" s="440"/>
    </row>
    <row r="41" spans="1:12" s="437" customFormat="1" ht="25.5" customHeight="1">
      <c r="A41" s="136"/>
      <c r="F41" s="131"/>
      <c r="H41" s="441"/>
      <c r="L41" s="441"/>
    </row>
    <row r="42" spans="1:12" s="437" customFormat="1" ht="25.5" customHeight="1">
      <c r="A42" s="386" t="s">
        <v>1600</v>
      </c>
      <c r="F42" s="131"/>
      <c r="H42" s="441"/>
      <c r="L42" s="441"/>
    </row>
    <row r="43" spans="1:12" s="131" customFormat="1" ht="25.5" customHeight="1">
      <c r="A43" s="136" t="s">
        <v>1609</v>
      </c>
      <c r="B43" s="130"/>
      <c r="C43" s="130"/>
      <c r="D43" s="130"/>
      <c r="E43" s="130"/>
      <c r="F43" s="130"/>
      <c r="G43" s="130"/>
      <c r="H43" s="136"/>
      <c r="L43" s="136"/>
    </row>
    <row r="44" spans="1:12" s="131" customFormat="1" ht="25.5" customHeight="1">
      <c r="A44" s="136"/>
      <c r="B44" s="130" t="s">
        <v>1610</v>
      </c>
      <c r="C44" s="130"/>
      <c r="D44" s="130"/>
      <c r="E44" s="130"/>
      <c r="F44" s="130"/>
      <c r="G44" s="130"/>
      <c r="H44" s="136"/>
      <c r="L44" s="136"/>
    </row>
    <row r="45" spans="1:12" s="131" customFormat="1" ht="25.5" customHeight="1">
      <c r="A45" s="136" t="s">
        <v>1611</v>
      </c>
      <c r="B45" s="130"/>
      <c r="C45" s="130"/>
      <c r="D45" s="130"/>
      <c r="E45" s="130"/>
      <c r="F45" s="130"/>
      <c r="G45" s="130"/>
      <c r="H45" s="136"/>
      <c r="L45" s="136"/>
    </row>
    <row r="46" spans="1:12" s="131" customFormat="1" ht="25.5" customHeight="1">
      <c r="A46" s="136" t="s">
        <v>1612</v>
      </c>
      <c r="B46" s="130"/>
      <c r="C46" s="130"/>
      <c r="D46" s="130"/>
      <c r="E46" s="130"/>
      <c r="F46" s="130"/>
      <c r="G46" s="130"/>
      <c r="H46" s="136"/>
      <c r="L46" s="136"/>
    </row>
    <row r="47" spans="1:12" s="131" customFormat="1" ht="25.5" customHeight="1">
      <c r="A47" s="136" t="s">
        <v>1613</v>
      </c>
      <c r="B47" s="130"/>
      <c r="C47" s="130"/>
      <c r="D47" s="130"/>
      <c r="E47" s="130"/>
      <c r="F47" s="130"/>
      <c r="G47" s="130"/>
      <c r="H47" s="136"/>
      <c r="L47" s="136"/>
    </row>
    <row r="48" spans="1:12" s="131" customFormat="1" ht="25.5" customHeight="1">
      <c r="A48" s="136" t="s">
        <v>1614</v>
      </c>
      <c r="B48" s="130"/>
      <c r="C48" s="130"/>
      <c r="D48" s="130"/>
      <c r="E48" s="130"/>
      <c r="F48" s="130"/>
      <c r="G48" s="130"/>
      <c r="H48" s="136"/>
      <c r="L48" s="136"/>
    </row>
    <row r="49" spans="1:12" s="131" customFormat="1" ht="25.5" customHeight="1">
      <c r="A49" s="136" t="s">
        <v>1029</v>
      </c>
      <c r="B49" s="130" t="s">
        <v>1615</v>
      </c>
      <c r="C49" s="130"/>
      <c r="D49" s="130"/>
      <c r="E49" s="130"/>
      <c r="F49" s="130"/>
      <c r="G49" s="130"/>
      <c r="H49" s="136"/>
      <c r="L49" s="136"/>
    </row>
    <row r="50" spans="1:12" s="131" customFormat="1" ht="25.5" customHeight="1">
      <c r="A50" s="136" t="s">
        <v>1616</v>
      </c>
      <c r="B50" s="130"/>
      <c r="C50" s="130"/>
      <c r="D50" s="130"/>
      <c r="E50" s="130"/>
      <c r="F50" s="130"/>
      <c r="G50" s="130"/>
      <c r="H50" s="136"/>
      <c r="L50" s="136"/>
    </row>
    <row r="51" spans="1:12" s="437" customFormat="1" ht="25.5" customHeight="1">
      <c r="A51" s="136"/>
      <c r="F51" s="131"/>
      <c r="H51" s="441"/>
      <c r="L51" s="441"/>
    </row>
    <row r="52" spans="1:12" s="312" customFormat="1" ht="25.5" customHeight="1">
      <c r="A52" s="132" t="s">
        <v>893</v>
      </c>
      <c r="B52" s="145"/>
      <c r="C52" s="145"/>
      <c r="D52" s="145"/>
      <c r="E52" s="145"/>
      <c r="F52" s="145"/>
      <c r="G52" s="145"/>
      <c r="H52" s="145"/>
      <c r="I52" s="145"/>
      <c r="J52" s="139"/>
      <c r="L52" s="145"/>
    </row>
    <row r="53" spans="1:13" s="446" customFormat="1" ht="25.5" customHeight="1">
      <c r="A53" s="443" t="s">
        <v>1019</v>
      </c>
      <c r="B53" s="444"/>
      <c r="C53" s="444"/>
      <c r="D53" s="444"/>
      <c r="E53" s="445"/>
      <c r="F53" s="445"/>
      <c r="G53" s="445"/>
      <c r="H53" s="445"/>
      <c r="I53" s="445"/>
      <c r="J53" s="445"/>
      <c r="K53" s="445"/>
      <c r="L53" s="445"/>
      <c r="M53" s="445"/>
    </row>
    <row r="54" spans="1:13" s="446" customFormat="1" ht="25.5" customHeight="1">
      <c r="A54" s="447" t="s">
        <v>1020</v>
      </c>
      <c r="B54" s="444"/>
      <c r="C54" s="444"/>
      <c r="D54" s="444"/>
      <c r="E54" s="445"/>
      <c r="F54" s="445"/>
      <c r="G54" s="445"/>
      <c r="H54" s="445"/>
      <c r="I54" s="445"/>
      <c r="J54" s="445"/>
      <c r="K54" s="445"/>
      <c r="L54" s="445"/>
      <c r="M54" s="445"/>
    </row>
    <row r="55" spans="10:23" s="446" customFormat="1" ht="25.5" customHeight="1">
      <c r="J55" s="448"/>
      <c r="K55" s="449" t="s">
        <v>894</v>
      </c>
      <c r="L55" s="449"/>
      <c r="M55" s="449"/>
      <c r="N55" s="450"/>
      <c r="Q55" s="445"/>
      <c r="U55" s="445"/>
      <c r="W55" s="451"/>
    </row>
    <row r="56" spans="1:23" s="446" customFormat="1" ht="25.5" customHeight="1">
      <c r="A56" s="447" t="s">
        <v>895</v>
      </c>
      <c r="B56" s="444"/>
      <c r="E56" s="449" t="s">
        <v>896</v>
      </c>
      <c r="F56" s="452"/>
      <c r="G56" s="452"/>
      <c r="H56" s="448"/>
      <c r="I56" s="453" t="s">
        <v>897</v>
      </c>
      <c r="J56" s="448"/>
      <c r="K56" s="454" t="s">
        <v>898</v>
      </c>
      <c r="L56" s="448"/>
      <c r="M56" s="454" t="s">
        <v>747</v>
      </c>
      <c r="N56" s="455"/>
      <c r="Q56" s="445"/>
      <c r="U56" s="445"/>
      <c r="W56" s="445"/>
    </row>
    <row r="57" spans="1:23" s="446" customFormat="1" ht="25.5" customHeight="1">
      <c r="A57" s="447" t="s">
        <v>899</v>
      </c>
      <c r="B57" s="444"/>
      <c r="E57" s="456"/>
      <c r="I57" s="445"/>
      <c r="Q57" s="445"/>
      <c r="R57" s="445"/>
      <c r="S57" s="445"/>
      <c r="T57" s="445"/>
      <c r="U57" s="445"/>
      <c r="W57" s="445"/>
    </row>
    <row r="58" spans="1:23" s="446" customFormat="1" ht="25.5" customHeight="1">
      <c r="A58" s="447" t="s">
        <v>900</v>
      </c>
      <c r="B58" s="444"/>
      <c r="E58" s="457" t="s">
        <v>901</v>
      </c>
      <c r="I58" s="458" t="s">
        <v>902</v>
      </c>
      <c r="K58" s="459">
        <v>51</v>
      </c>
      <c r="M58" s="459">
        <v>0</v>
      </c>
      <c r="Q58" s="445"/>
      <c r="R58" s="460"/>
      <c r="S58" s="445"/>
      <c r="T58" s="460"/>
      <c r="U58" s="445"/>
      <c r="W58" s="445"/>
    </row>
    <row r="59" spans="1:23" s="446" customFormat="1" ht="25.5" customHeight="1">
      <c r="A59" s="461"/>
      <c r="B59" s="444"/>
      <c r="E59" s="445" t="s">
        <v>903</v>
      </c>
      <c r="Q59" s="445"/>
      <c r="U59" s="445"/>
      <c r="W59" s="445"/>
    </row>
    <row r="60" spans="1:23" s="446" customFormat="1" ht="25.5" customHeight="1">
      <c r="A60" s="447"/>
      <c r="B60" s="444"/>
      <c r="E60" s="445" t="s">
        <v>904</v>
      </c>
      <c r="Q60" s="445"/>
      <c r="U60" s="445"/>
      <c r="W60" s="445"/>
    </row>
    <row r="61" spans="1:23" s="436" customFormat="1" ht="25.5" customHeight="1">
      <c r="A61" s="434"/>
      <c r="B61" s="432"/>
      <c r="C61" s="432"/>
      <c r="D61" s="432"/>
      <c r="E61" s="462" t="s">
        <v>905</v>
      </c>
      <c r="P61" s="463"/>
      <c r="Q61" s="462"/>
      <c r="R61" s="463"/>
      <c r="S61" s="462"/>
      <c r="T61" s="463"/>
      <c r="U61" s="435"/>
      <c r="W61" s="435"/>
    </row>
    <row r="62" spans="1:12" s="465" customFormat="1" ht="25.5" customHeight="1">
      <c r="A62" s="443" t="s">
        <v>906</v>
      </c>
      <c r="B62" s="464"/>
      <c r="C62" s="464"/>
      <c r="D62" s="464"/>
      <c r="E62" s="464"/>
      <c r="F62" s="464"/>
      <c r="G62" s="464"/>
      <c r="H62" s="464"/>
      <c r="I62" s="464"/>
      <c r="J62" s="464"/>
      <c r="K62" s="464"/>
      <c r="L62" s="464"/>
    </row>
    <row r="63" spans="1:12" s="465" customFormat="1" ht="25.5" customHeight="1">
      <c r="A63" s="447" t="s">
        <v>907</v>
      </c>
      <c r="B63" s="464"/>
      <c r="C63" s="464"/>
      <c r="D63" s="464"/>
      <c r="E63" s="464"/>
      <c r="F63" s="464"/>
      <c r="G63" s="464"/>
      <c r="H63" s="464"/>
      <c r="I63" s="464"/>
      <c r="J63" s="464"/>
      <c r="K63" s="464"/>
      <c r="L63" s="464"/>
    </row>
    <row r="64" spans="1:18" s="467" customFormat="1" ht="25.5" customHeight="1">
      <c r="A64" s="466" t="s">
        <v>908</v>
      </c>
      <c r="B64" s="466"/>
      <c r="C64" s="466"/>
      <c r="D64" s="466"/>
      <c r="E64" s="445"/>
      <c r="F64" s="445"/>
      <c r="G64" s="445"/>
      <c r="H64" s="445"/>
      <c r="I64" s="445"/>
      <c r="J64" s="445"/>
      <c r="K64" s="445"/>
      <c r="L64" s="445"/>
      <c r="M64" s="55"/>
      <c r="P64" s="468"/>
      <c r="Q64" s="468"/>
      <c r="R64" s="468"/>
    </row>
    <row r="65" spans="1:18" s="467" customFormat="1" ht="25.5" customHeight="1">
      <c r="A65" s="466" t="s">
        <v>910</v>
      </c>
      <c r="B65" s="466"/>
      <c r="C65" s="466"/>
      <c r="D65" s="466"/>
      <c r="E65" s="445"/>
      <c r="F65" s="445"/>
      <c r="G65" s="445"/>
      <c r="H65" s="445"/>
      <c r="I65" s="445"/>
      <c r="J65" s="445"/>
      <c r="K65" s="445"/>
      <c r="L65" s="445"/>
      <c r="M65" s="445"/>
      <c r="P65" s="468"/>
      <c r="Q65" s="468"/>
      <c r="R65" s="468"/>
    </row>
    <row r="66" spans="1:18" s="36" customFormat="1" ht="25.5" customHeight="1">
      <c r="A66" s="466" t="s">
        <v>911</v>
      </c>
      <c r="B66" s="466"/>
      <c r="C66" s="466"/>
      <c r="D66" s="466"/>
      <c r="E66" s="445"/>
      <c r="F66" s="445"/>
      <c r="G66" s="445"/>
      <c r="H66" s="445"/>
      <c r="I66" s="445"/>
      <c r="J66" s="445"/>
      <c r="K66" s="445"/>
      <c r="L66" s="445"/>
      <c r="M66" s="445"/>
      <c r="P66" s="468"/>
      <c r="Q66" s="468"/>
      <c r="R66" s="468"/>
    </row>
    <row r="67" spans="1:18" s="36" customFormat="1" ht="25.5" customHeight="1">
      <c r="A67" s="466" t="s">
        <v>912</v>
      </c>
      <c r="B67" s="445"/>
      <c r="C67" s="445"/>
      <c r="D67" s="445"/>
      <c r="E67" s="445"/>
      <c r="F67" s="445"/>
      <c r="G67" s="445"/>
      <c r="H67" s="445"/>
      <c r="I67" s="445"/>
      <c r="J67" s="55"/>
      <c r="L67" s="445"/>
      <c r="P67" s="468"/>
      <c r="Q67" s="468"/>
      <c r="R67" s="468"/>
    </row>
    <row r="68" spans="1:18" s="36" customFormat="1" ht="25.5" customHeight="1">
      <c r="A68" s="466" t="s">
        <v>913</v>
      </c>
      <c r="B68" s="445"/>
      <c r="C68" s="445"/>
      <c r="D68" s="445"/>
      <c r="E68" s="445"/>
      <c r="F68" s="445"/>
      <c r="G68" s="445"/>
      <c r="H68" s="445"/>
      <c r="I68" s="445"/>
      <c r="J68" s="55"/>
      <c r="L68" s="445"/>
      <c r="P68" s="468"/>
      <c r="Q68" s="468"/>
      <c r="R68" s="468"/>
    </row>
    <row r="69" spans="1:18" s="36" customFormat="1" ht="25.5" customHeight="1">
      <c r="A69" s="466" t="s">
        <v>914</v>
      </c>
      <c r="B69" s="466"/>
      <c r="C69" s="466"/>
      <c r="D69" s="466"/>
      <c r="E69" s="445"/>
      <c r="F69" s="445"/>
      <c r="G69" s="445"/>
      <c r="H69" s="445"/>
      <c r="I69" s="445"/>
      <c r="J69" s="445"/>
      <c r="K69" s="445"/>
      <c r="L69" s="445"/>
      <c r="M69" s="445"/>
      <c r="P69" s="468"/>
      <c r="Q69" s="468"/>
      <c r="R69" s="468"/>
    </row>
    <row r="70" spans="1:18" s="36" customFormat="1" ht="25.5" customHeight="1">
      <c r="A70" s="466" t="s">
        <v>915</v>
      </c>
      <c r="B70" s="445"/>
      <c r="C70" s="445"/>
      <c r="D70" s="445"/>
      <c r="E70" s="445"/>
      <c r="F70" s="445"/>
      <c r="G70" s="445"/>
      <c r="H70" s="445"/>
      <c r="I70" s="445"/>
      <c r="J70" s="55"/>
      <c r="L70" s="445"/>
      <c r="P70" s="468"/>
      <c r="Q70" s="468"/>
      <c r="R70" s="468"/>
    </row>
    <row r="71" spans="1:18" s="36" customFormat="1" ht="25.5" customHeight="1">
      <c r="A71" s="466"/>
      <c r="B71" s="445"/>
      <c r="C71" s="445"/>
      <c r="D71" s="445"/>
      <c r="E71" s="445"/>
      <c r="F71" s="445"/>
      <c r="G71" s="445"/>
      <c r="H71" s="445"/>
      <c r="I71" s="445"/>
      <c r="J71" s="55"/>
      <c r="L71" s="445"/>
      <c r="P71" s="468"/>
      <c r="Q71" s="468"/>
      <c r="R71" s="468"/>
    </row>
    <row r="72" spans="1:18" s="36" customFormat="1" ht="25.5" customHeight="1">
      <c r="A72" s="466"/>
      <c r="B72" s="445"/>
      <c r="C72" s="445"/>
      <c r="D72" s="445"/>
      <c r="E72" s="445"/>
      <c r="F72" s="445"/>
      <c r="G72" s="445"/>
      <c r="H72" s="445"/>
      <c r="I72" s="445"/>
      <c r="J72" s="55"/>
      <c r="L72" s="445"/>
      <c r="P72" s="468"/>
      <c r="Q72" s="468"/>
      <c r="R72" s="468"/>
    </row>
    <row r="73" spans="1:18" s="36" customFormat="1" ht="25.5" customHeight="1">
      <c r="A73" s="466"/>
      <c r="B73" s="445"/>
      <c r="C73" s="445"/>
      <c r="D73" s="445"/>
      <c r="E73" s="445"/>
      <c r="F73" s="445"/>
      <c r="G73" s="445"/>
      <c r="H73" s="445"/>
      <c r="I73" s="445"/>
      <c r="J73" s="55"/>
      <c r="L73" s="445"/>
      <c r="P73" s="468"/>
      <c r="Q73" s="468"/>
      <c r="R73" s="468"/>
    </row>
    <row r="74" spans="1:13" s="437" customFormat="1" ht="25.5" customHeight="1">
      <c r="A74" s="138" t="s">
        <v>891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</row>
    <row r="75" spans="1:18" s="36" customFormat="1" ht="25.5" customHeight="1">
      <c r="A75" s="466"/>
      <c r="B75" s="445"/>
      <c r="C75" s="445"/>
      <c r="D75" s="445"/>
      <c r="E75" s="445"/>
      <c r="F75" s="445"/>
      <c r="G75" s="445"/>
      <c r="H75" s="445"/>
      <c r="I75" s="445"/>
      <c r="J75" s="55"/>
      <c r="L75" s="445"/>
      <c r="P75" s="468"/>
      <c r="Q75" s="468"/>
      <c r="R75" s="468"/>
    </row>
    <row r="76" spans="1:18" s="36" customFormat="1" ht="25.5" customHeight="1">
      <c r="A76" s="466"/>
      <c r="B76" s="445"/>
      <c r="C76" s="445"/>
      <c r="D76" s="445"/>
      <c r="E76" s="445"/>
      <c r="F76" s="445"/>
      <c r="G76" s="445"/>
      <c r="H76" s="445"/>
      <c r="I76" s="445"/>
      <c r="J76" s="55"/>
      <c r="L76" s="445"/>
      <c r="P76" s="468"/>
      <c r="Q76" s="468"/>
      <c r="R76" s="468"/>
    </row>
    <row r="77" spans="1:18" s="36" customFormat="1" ht="25.5" customHeight="1">
      <c r="A77" s="466"/>
      <c r="B77" s="445"/>
      <c r="C77" s="445"/>
      <c r="D77" s="445"/>
      <c r="E77" s="445"/>
      <c r="F77" s="445"/>
      <c r="G77" s="445"/>
      <c r="H77" s="445"/>
      <c r="I77" s="445"/>
      <c r="J77" s="55"/>
      <c r="L77" s="445"/>
      <c r="P77" s="468"/>
      <c r="Q77" s="468"/>
      <c r="R77" s="468"/>
    </row>
    <row r="78" spans="1:14" s="436" customFormat="1" ht="25.5" customHeight="1">
      <c r="A78" s="145" t="s">
        <v>909</v>
      </c>
      <c r="B78" s="438"/>
      <c r="C78" s="438"/>
      <c r="D78" s="438"/>
      <c r="E78" s="439"/>
      <c r="F78" s="439"/>
      <c r="G78" s="439"/>
      <c r="H78" s="439"/>
      <c r="I78" s="439"/>
      <c r="J78" s="439"/>
      <c r="K78" s="439"/>
      <c r="L78" s="439"/>
      <c r="M78" s="439"/>
      <c r="N78" s="440"/>
    </row>
    <row r="79" spans="1:14" s="436" customFormat="1" ht="25.5" customHeight="1">
      <c r="A79" s="145"/>
      <c r="B79" s="438"/>
      <c r="C79" s="438"/>
      <c r="D79" s="438"/>
      <c r="E79" s="439"/>
      <c r="F79" s="439"/>
      <c r="G79" s="439"/>
      <c r="H79" s="439"/>
      <c r="I79" s="439"/>
      <c r="J79" s="439"/>
      <c r="K79" s="439"/>
      <c r="L79" s="439"/>
      <c r="M79" s="439"/>
      <c r="N79" s="440"/>
    </row>
    <row r="80" spans="1:15" s="437" customFormat="1" ht="25.5" customHeight="1">
      <c r="A80" s="132" t="s">
        <v>916</v>
      </c>
      <c r="F80" s="131"/>
      <c r="H80" s="441"/>
      <c r="L80" s="441"/>
      <c r="N80" s="436"/>
      <c r="O80" s="436"/>
    </row>
    <row r="81" spans="1:12" s="55" customFormat="1" ht="25.5" customHeight="1">
      <c r="A81" s="76" t="s">
        <v>1006</v>
      </c>
      <c r="B81" s="85"/>
      <c r="C81" s="86"/>
      <c r="D81" s="86"/>
      <c r="E81" s="87"/>
      <c r="F81" s="88"/>
      <c r="G81" s="88"/>
      <c r="H81" s="88"/>
      <c r="I81" s="88"/>
      <c r="J81" s="79"/>
      <c r="K81" s="79"/>
      <c r="L81" s="79"/>
    </row>
    <row r="82" spans="1:12" s="55" customFormat="1" ht="25.5" customHeight="1">
      <c r="A82" s="35" t="s">
        <v>1007</v>
      </c>
      <c r="B82" s="35"/>
      <c r="C82" s="35"/>
      <c r="D82" s="35"/>
      <c r="E82" s="87"/>
      <c r="F82" s="88"/>
      <c r="G82" s="88"/>
      <c r="H82" s="88"/>
      <c r="I82" s="88"/>
      <c r="J82" s="79"/>
      <c r="K82" s="79"/>
      <c r="L82" s="79"/>
    </row>
    <row r="83" spans="1:12" s="55" customFormat="1" ht="25.5" customHeight="1">
      <c r="A83" s="35" t="s">
        <v>1018</v>
      </c>
      <c r="B83" s="35"/>
      <c r="C83" s="35"/>
      <c r="D83" s="35"/>
      <c r="E83" s="87"/>
      <c r="F83" s="88"/>
      <c r="G83" s="88"/>
      <c r="H83" s="88"/>
      <c r="I83" s="88"/>
      <c r="J83" s="79"/>
      <c r="K83" s="79"/>
      <c r="L83" s="79"/>
    </row>
    <row r="84" spans="1:12" s="55" customFormat="1" ht="25.5" customHeight="1">
      <c r="A84" s="35" t="s">
        <v>1017</v>
      </c>
      <c r="B84" s="35"/>
      <c r="C84" s="35"/>
      <c r="D84" s="35"/>
      <c r="E84" s="87"/>
      <c r="F84" s="88"/>
      <c r="G84" s="88"/>
      <c r="H84" s="88"/>
      <c r="I84" s="88"/>
      <c r="J84" s="79"/>
      <c r="K84" s="79"/>
      <c r="L84" s="79"/>
    </row>
    <row r="85" spans="1:9" s="79" customFormat="1" ht="25.5" customHeight="1">
      <c r="A85" s="35" t="s">
        <v>1010</v>
      </c>
      <c r="B85" s="35"/>
      <c r="C85" s="35"/>
      <c r="D85" s="35"/>
      <c r="E85" s="87"/>
      <c r="F85" s="88"/>
      <c r="G85" s="88"/>
      <c r="H85" s="88"/>
      <c r="I85" s="88"/>
    </row>
    <row r="86" spans="1:9" s="79" customFormat="1" ht="25.5" customHeight="1">
      <c r="A86" s="35" t="s">
        <v>1011</v>
      </c>
      <c r="B86" s="35"/>
      <c r="C86" s="35"/>
      <c r="D86" s="35"/>
      <c r="E86" s="87"/>
      <c r="F86" s="88"/>
      <c r="G86" s="88"/>
      <c r="H86" s="88"/>
      <c r="I86" s="88"/>
    </row>
    <row r="87" spans="1:13" s="436" customFormat="1" ht="25.5" customHeight="1">
      <c r="A87" s="35" t="s">
        <v>1012</v>
      </c>
      <c r="B87" s="432"/>
      <c r="C87" s="432"/>
      <c r="D87" s="432"/>
      <c r="E87" s="435"/>
      <c r="F87" s="435"/>
      <c r="G87" s="435"/>
      <c r="H87" s="435"/>
      <c r="I87" s="435"/>
      <c r="J87" s="435"/>
      <c r="K87" s="435"/>
      <c r="L87" s="435"/>
      <c r="M87" s="435"/>
    </row>
    <row r="88" spans="1:13" s="436" customFormat="1" ht="25.5" customHeight="1">
      <c r="A88" s="469" t="s">
        <v>1830</v>
      </c>
      <c r="B88" s="432"/>
      <c r="C88" s="432"/>
      <c r="D88" s="432"/>
      <c r="E88" s="463"/>
      <c r="F88" s="462"/>
      <c r="G88" s="463"/>
      <c r="H88" s="462"/>
      <c r="I88" s="463"/>
      <c r="J88" s="435"/>
      <c r="K88" s="462"/>
      <c r="L88" s="462"/>
      <c r="M88" s="435"/>
    </row>
    <row r="89" spans="1:13" s="436" customFormat="1" ht="25.5" customHeight="1">
      <c r="A89" s="35" t="s">
        <v>1008</v>
      </c>
      <c r="B89" s="470"/>
      <c r="C89" s="432"/>
      <c r="D89" s="432"/>
      <c r="E89" s="463"/>
      <c r="F89" s="462"/>
      <c r="G89" s="463"/>
      <c r="H89" s="462"/>
      <c r="I89" s="463"/>
      <c r="J89" s="435"/>
      <c r="K89" s="462"/>
      <c r="L89" s="462"/>
      <c r="M89" s="435"/>
    </row>
    <row r="90" spans="1:13" s="436" customFormat="1" ht="25.5" customHeight="1">
      <c r="A90" s="469" t="s">
        <v>1009</v>
      </c>
      <c r="B90" s="471"/>
      <c r="C90" s="432"/>
      <c r="D90" s="432"/>
      <c r="E90" s="463"/>
      <c r="F90" s="462"/>
      <c r="G90" s="463"/>
      <c r="H90" s="462"/>
      <c r="I90" s="463"/>
      <c r="J90" s="435"/>
      <c r="K90" s="462"/>
      <c r="L90" s="462"/>
      <c r="M90" s="435"/>
    </row>
    <row r="91" spans="1:9" s="79" customFormat="1" ht="25.5" customHeight="1">
      <c r="A91" s="35" t="s">
        <v>1013</v>
      </c>
      <c r="B91" s="35"/>
      <c r="C91" s="35"/>
      <c r="D91" s="35"/>
      <c r="E91" s="87"/>
      <c r="F91" s="88"/>
      <c r="G91" s="88"/>
      <c r="H91" s="88"/>
      <c r="I91" s="88"/>
    </row>
    <row r="92" spans="1:9" s="79" customFormat="1" ht="25.5" customHeight="1">
      <c r="A92" s="35" t="s">
        <v>1029</v>
      </c>
      <c r="B92" s="35" t="s">
        <v>1023</v>
      </c>
      <c r="C92" s="35"/>
      <c r="D92" s="35"/>
      <c r="E92" s="87"/>
      <c r="F92" s="88"/>
      <c r="G92" s="88"/>
      <c r="H92" s="88"/>
      <c r="I92" s="88"/>
    </row>
    <row r="93" spans="1:13" s="436" customFormat="1" ht="25.5" customHeight="1">
      <c r="A93" s="35" t="s">
        <v>1014</v>
      </c>
      <c r="B93" s="472"/>
      <c r="C93" s="432"/>
      <c r="D93" s="432"/>
      <c r="E93" s="463"/>
      <c r="F93" s="462"/>
      <c r="G93" s="463"/>
      <c r="H93" s="462"/>
      <c r="I93" s="463"/>
      <c r="J93" s="435"/>
      <c r="K93" s="462"/>
      <c r="L93" s="462"/>
      <c r="M93" s="435"/>
    </row>
    <row r="94" spans="1:13" s="436" customFormat="1" ht="25.5" customHeight="1">
      <c r="A94" s="35" t="s">
        <v>1029</v>
      </c>
      <c r="B94" s="432" t="s">
        <v>1030</v>
      </c>
      <c r="C94" s="432"/>
      <c r="D94" s="432"/>
      <c r="E94" s="463"/>
      <c r="F94" s="462"/>
      <c r="G94" s="463"/>
      <c r="H94" s="462"/>
      <c r="I94" s="463"/>
      <c r="J94" s="435"/>
      <c r="K94" s="462"/>
      <c r="L94" s="462"/>
      <c r="M94" s="435"/>
    </row>
    <row r="95" spans="1:13" s="436" customFormat="1" ht="25.5" customHeight="1">
      <c r="A95" s="35" t="s">
        <v>1015</v>
      </c>
      <c r="B95" s="432"/>
      <c r="C95" s="432"/>
      <c r="D95" s="432"/>
      <c r="E95" s="463"/>
      <c r="F95" s="462"/>
      <c r="G95" s="463"/>
      <c r="H95" s="462"/>
      <c r="I95" s="463"/>
      <c r="J95" s="435"/>
      <c r="K95" s="462"/>
      <c r="L95" s="462"/>
      <c r="M95" s="435"/>
    </row>
    <row r="96" spans="1:15" ht="25.5" customHeight="1">
      <c r="A96" s="469" t="s">
        <v>1016</v>
      </c>
      <c r="N96" s="436"/>
      <c r="O96" s="436"/>
    </row>
    <row r="97" spans="1:15" ht="25.5" customHeight="1">
      <c r="A97" s="473" t="s">
        <v>803</v>
      </c>
      <c r="B97" s="473" t="s">
        <v>1031</v>
      </c>
      <c r="N97" s="436"/>
      <c r="O97" s="436"/>
    </row>
    <row r="98" spans="1:15" ht="25.5" customHeight="1">
      <c r="A98" s="473" t="s">
        <v>1032</v>
      </c>
      <c r="N98" s="436"/>
      <c r="O98" s="436"/>
    </row>
    <row r="99" spans="1:15" ht="25.5" customHeight="1">
      <c r="A99" s="473" t="s">
        <v>1033</v>
      </c>
      <c r="N99" s="436"/>
      <c r="O99" s="436"/>
    </row>
    <row r="100" spans="1:15" ht="25.5" customHeight="1">
      <c r="A100" s="473" t="s">
        <v>1034</v>
      </c>
      <c r="N100" s="436"/>
      <c r="O100" s="436"/>
    </row>
    <row r="101" spans="2:15" ht="25.5" customHeight="1">
      <c r="B101" s="473" t="s">
        <v>917</v>
      </c>
      <c r="N101" s="436"/>
      <c r="O101" s="436"/>
    </row>
    <row r="102" spans="9:15" ht="25.5" customHeight="1">
      <c r="I102" s="474" t="s">
        <v>918</v>
      </c>
      <c r="N102" s="436"/>
      <c r="O102" s="436"/>
    </row>
    <row r="103" spans="2:15" ht="25.5" customHeight="1">
      <c r="B103" s="473" t="s">
        <v>919</v>
      </c>
      <c r="I103" s="475">
        <v>1</v>
      </c>
      <c r="N103" s="436"/>
      <c r="O103" s="436"/>
    </row>
    <row r="104" spans="2:15" ht="25.5" customHeight="1">
      <c r="B104" s="473" t="s">
        <v>920</v>
      </c>
      <c r="I104" s="475">
        <v>2</v>
      </c>
      <c r="N104" s="436"/>
      <c r="O104" s="436"/>
    </row>
    <row r="105" spans="2:15" ht="25.5" customHeight="1">
      <c r="B105" s="473" t="s">
        <v>921</v>
      </c>
      <c r="I105" s="475">
        <v>20</v>
      </c>
      <c r="N105" s="436"/>
      <c r="O105" s="436"/>
    </row>
    <row r="106" spans="2:15" ht="25.5" customHeight="1">
      <c r="B106" s="473" t="s">
        <v>922</v>
      </c>
      <c r="I106" s="475">
        <v>50</v>
      </c>
      <c r="N106" s="436"/>
      <c r="O106" s="436"/>
    </row>
    <row r="107" spans="2:15" ht="25.5" customHeight="1">
      <c r="B107" s="473" t="s">
        <v>923</v>
      </c>
      <c r="I107" s="475">
        <v>100</v>
      </c>
      <c r="N107" s="436"/>
      <c r="O107" s="436"/>
    </row>
    <row r="108" spans="1:9" s="79" customFormat="1" ht="25.5" customHeight="1">
      <c r="A108" s="35" t="s">
        <v>1022</v>
      </c>
      <c r="B108" s="35"/>
      <c r="C108" s="35"/>
      <c r="D108" s="35"/>
      <c r="E108" s="87"/>
      <c r="F108" s="88"/>
      <c r="G108" s="88"/>
      <c r="H108" s="88"/>
      <c r="I108" s="88"/>
    </row>
    <row r="109" spans="1:9" s="79" customFormat="1" ht="25.5" customHeight="1">
      <c r="A109" s="35" t="s">
        <v>930</v>
      </c>
      <c r="B109" s="35" t="s">
        <v>1035</v>
      </c>
      <c r="C109" s="35"/>
      <c r="D109" s="35"/>
      <c r="E109" s="87"/>
      <c r="F109" s="88"/>
      <c r="G109" s="88"/>
      <c r="H109" s="88"/>
      <c r="I109" s="88"/>
    </row>
    <row r="110" spans="1:9" s="79" customFormat="1" ht="25.5" customHeight="1">
      <c r="A110" s="35" t="s">
        <v>1024</v>
      </c>
      <c r="B110" s="35"/>
      <c r="C110" s="35"/>
      <c r="D110" s="35"/>
      <c r="E110" s="87"/>
      <c r="F110" s="88"/>
      <c r="G110" s="88"/>
      <c r="H110" s="88"/>
      <c r="I110" s="88"/>
    </row>
    <row r="111" spans="1:9" s="79" customFormat="1" ht="25.5" customHeight="1">
      <c r="A111" s="35"/>
      <c r="B111" s="35"/>
      <c r="C111" s="35"/>
      <c r="D111" s="35"/>
      <c r="E111" s="87"/>
      <c r="F111" s="88"/>
      <c r="G111" s="88"/>
      <c r="H111" s="88"/>
      <c r="I111" s="88"/>
    </row>
    <row r="112" spans="1:9" s="79" customFormat="1" ht="25.5" customHeight="1">
      <c r="A112" s="35"/>
      <c r="B112" s="35"/>
      <c r="C112" s="35"/>
      <c r="D112" s="35"/>
      <c r="E112" s="87"/>
      <c r="F112" s="88"/>
      <c r="G112" s="88"/>
      <c r="H112" s="88"/>
      <c r="I112" s="88"/>
    </row>
    <row r="113" spans="1:9" s="79" customFormat="1" ht="25.5" customHeight="1">
      <c r="A113" s="35"/>
      <c r="B113" s="35"/>
      <c r="C113" s="35"/>
      <c r="D113" s="35"/>
      <c r="E113" s="87"/>
      <c r="F113" s="88"/>
      <c r="G113" s="88"/>
      <c r="H113" s="88"/>
      <c r="I113" s="88"/>
    </row>
    <row r="114" spans="1:13" s="437" customFormat="1" ht="25.5" customHeight="1">
      <c r="A114" s="138" t="s">
        <v>891</v>
      </c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</row>
    <row r="115" spans="1:13" s="437" customFormat="1" ht="25.5" customHeight="1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</row>
    <row r="116" spans="1:14" s="436" customFormat="1" ht="25.5" customHeight="1">
      <c r="A116" s="145" t="s">
        <v>924</v>
      </c>
      <c r="B116" s="438"/>
      <c r="C116" s="438"/>
      <c r="D116" s="438"/>
      <c r="E116" s="439"/>
      <c r="F116" s="439"/>
      <c r="G116" s="439"/>
      <c r="H116" s="439"/>
      <c r="I116" s="439"/>
      <c r="J116" s="439"/>
      <c r="K116" s="439"/>
      <c r="L116" s="439"/>
      <c r="M116" s="439"/>
      <c r="N116" s="440"/>
    </row>
    <row r="117" spans="1:9" s="79" customFormat="1" ht="25.5" customHeight="1">
      <c r="A117" s="35"/>
      <c r="B117" s="35"/>
      <c r="C117" s="35"/>
      <c r="D117" s="35"/>
      <c r="E117" s="87"/>
      <c r="F117" s="88"/>
      <c r="G117" s="88"/>
      <c r="H117" s="88"/>
      <c r="I117" s="88"/>
    </row>
    <row r="118" spans="1:15" s="437" customFormat="1" ht="25.5" customHeight="1">
      <c r="A118" s="132" t="s">
        <v>925</v>
      </c>
      <c r="F118" s="131"/>
      <c r="H118" s="441"/>
      <c r="L118" s="441"/>
      <c r="N118" s="436"/>
      <c r="O118" s="436"/>
    </row>
    <row r="119" spans="1:18" s="476" customFormat="1" ht="25.5" customHeight="1">
      <c r="A119" s="466" t="s">
        <v>1831</v>
      </c>
      <c r="B119" s="466"/>
      <c r="C119" s="466"/>
      <c r="D119" s="445"/>
      <c r="E119" s="445"/>
      <c r="F119" s="445"/>
      <c r="G119" s="445"/>
      <c r="H119" s="445"/>
      <c r="I119" s="445"/>
      <c r="J119" s="445"/>
      <c r="K119" s="445"/>
      <c r="L119" s="445"/>
      <c r="M119" s="55"/>
      <c r="P119" s="477"/>
      <c r="Q119" s="477"/>
      <c r="R119" s="477"/>
    </row>
    <row r="120" spans="1:18" s="476" customFormat="1" ht="25.5" customHeight="1">
      <c r="A120" s="466" t="s">
        <v>930</v>
      </c>
      <c r="B120" s="466" t="s">
        <v>1908</v>
      </c>
      <c r="C120" s="466"/>
      <c r="D120" s="445"/>
      <c r="E120" s="445"/>
      <c r="F120" s="445"/>
      <c r="G120" s="445"/>
      <c r="H120" s="445"/>
      <c r="I120" s="445"/>
      <c r="J120" s="445"/>
      <c r="K120" s="445"/>
      <c r="L120" s="445"/>
      <c r="M120" s="55"/>
      <c r="P120" s="477"/>
      <c r="Q120" s="477"/>
      <c r="R120" s="477"/>
    </row>
    <row r="121" spans="1:9" s="79" customFormat="1" ht="25.5" customHeight="1">
      <c r="A121" s="35" t="s">
        <v>1025</v>
      </c>
      <c r="B121" s="35"/>
      <c r="C121" s="35"/>
      <c r="D121" s="35"/>
      <c r="E121" s="87"/>
      <c r="F121" s="88"/>
      <c r="G121" s="88"/>
      <c r="H121" s="88"/>
      <c r="I121" s="88"/>
    </row>
    <row r="122" spans="1:9" s="79" customFormat="1" ht="25.5" customHeight="1">
      <c r="A122" s="35" t="s">
        <v>930</v>
      </c>
      <c r="B122" s="35" t="s">
        <v>1036</v>
      </c>
      <c r="C122" s="35"/>
      <c r="D122" s="35"/>
      <c r="E122" s="87"/>
      <c r="F122" s="88"/>
      <c r="G122" s="88"/>
      <c r="H122" s="88"/>
      <c r="I122" s="88"/>
    </row>
    <row r="123" spans="1:9" s="79" customFormat="1" ht="25.5" customHeight="1">
      <c r="A123" s="35" t="s">
        <v>1834</v>
      </c>
      <c r="B123" s="35"/>
      <c r="C123" s="35"/>
      <c r="D123" s="35"/>
      <c r="E123" s="87"/>
      <c r="F123" s="88"/>
      <c r="G123" s="88"/>
      <c r="H123" s="88"/>
      <c r="I123" s="88"/>
    </row>
    <row r="124" spans="1:9" s="79" customFormat="1" ht="25.5" customHeight="1">
      <c r="A124" s="35" t="s">
        <v>1833</v>
      </c>
      <c r="B124" s="35"/>
      <c r="C124" s="35"/>
      <c r="D124" s="35"/>
      <c r="E124" s="87"/>
      <c r="F124" s="88"/>
      <c r="G124" s="88"/>
      <c r="H124" s="88"/>
      <c r="I124" s="88"/>
    </row>
    <row r="125" spans="1:9" s="79" customFormat="1" ht="25.5" customHeight="1">
      <c r="A125" s="35" t="s">
        <v>1835</v>
      </c>
      <c r="B125" s="35"/>
      <c r="C125" s="35"/>
      <c r="D125" s="35"/>
      <c r="E125" s="87"/>
      <c r="F125" s="88"/>
      <c r="G125" s="88"/>
      <c r="H125" s="88"/>
      <c r="I125" s="88"/>
    </row>
    <row r="126" spans="1:9" s="79" customFormat="1" ht="25.5" customHeight="1">
      <c r="A126" s="35" t="s">
        <v>1832</v>
      </c>
      <c r="B126" s="35"/>
      <c r="C126" s="35"/>
      <c r="D126" s="35"/>
      <c r="E126" s="87"/>
      <c r="F126" s="88"/>
      <c r="G126" s="88"/>
      <c r="H126" s="88"/>
      <c r="I126" s="88"/>
    </row>
    <row r="127" spans="1:9" s="79" customFormat="1" ht="25.5" customHeight="1">
      <c r="A127" s="35" t="s">
        <v>1026</v>
      </c>
      <c r="B127" s="35"/>
      <c r="C127" s="35"/>
      <c r="D127" s="35"/>
      <c r="E127" s="87"/>
      <c r="F127" s="88"/>
      <c r="G127" s="88"/>
      <c r="H127" s="88"/>
      <c r="I127" s="88"/>
    </row>
    <row r="128" spans="1:9" s="79" customFormat="1" ht="25.5" customHeight="1">
      <c r="A128" s="35" t="s">
        <v>930</v>
      </c>
      <c r="B128" s="35" t="s">
        <v>1037</v>
      </c>
      <c r="C128" s="35"/>
      <c r="D128" s="35"/>
      <c r="E128" s="87"/>
      <c r="F128" s="88"/>
      <c r="G128" s="88"/>
      <c r="H128" s="88"/>
      <c r="I128" s="88"/>
    </row>
    <row r="129" spans="1:9" s="79" customFormat="1" ht="25.5" customHeight="1">
      <c r="A129" s="35" t="s">
        <v>1038</v>
      </c>
      <c r="B129" s="35"/>
      <c r="C129" s="35"/>
      <c r="D129" s="35"/>
      <c r="E129" s="87"/>
      <c r="F129" s="88"/>
      <c r="G129" s="88"/>
      <c r="H129" s="88"/>
      <c r="I129" s="88"/>
    </row>
    <row r="130" spans="1:9" s="79" customFormat="1" ht="25.5" customHeight="1">
      <c r="A130" s="35" t="s">
        <v>1040</v>
      </c>
      <c r="B130" s="35"/>
      <c r="C130" s="35"/>
      <c r="D130" s="35"/>
      <c r="E130" s="87"/>
      <c r="F130" s="88"/>
      <c r="G130" s="88"/>
      <c r="H130" s="88"/>
      <c r="I130" s="88"/>
    </row>
    <row r="131" spans="1:9" s="79" customFormat="1" ht="25.5" customHeight="1">
      <c r="A131" s="35" t="s">
        <v>1039</v>
      </c>
      <c r="B131" s="35"/>
      <c r="C131" s="35"/>
      <c r="D131" s="35"/>
      <c r="E131" s="87"/>
      <c r="F131" s="88"/>
      <c r="G131" s="88"/>
      <c r="H131" s="88"/>
      <c r="I131" s="88"/>
    </row>
    <row r="132" spans="1:9" s="79" customFormat="1" ht="25.5" customHeight="1">
      <c r="A132" s="35" t="s">
        <v>930</v>
      </c>
      <c r="B132" s="35" t="s">
        <v>1041</v>
      </c>
      <c r="C132" s="35"/>
      <c r="D132" s="35"/>
      <c r="E132" s="87"/>
      <c r="F132" s="88"/>
      <c r="G132" s="88"/>
      <c r="H132" s="88"/>
      <c r="I132" s="88"/>
    </row>
    <row r="133" spans="1:9" s="79" customFormat="1" ht="25.5" customHeight="1">
      <c r="A133" s="35" t="s">
        <v>1042</v>
      </c>
      <c r="B133" s="35"/>
      <c r="C133" s="35"/>
      <c r="D133" s="35"/>
      <c r="E133" s="87"/>
      <c r="F133" s="88"/>
      <c r="G133" s="88"/>
      <c r="H133" s="88"/>
      <c r="I133" s="88"/>
    </row>
    <row r="134" spans="1:9" s="79" customFormat="1" ht="25.5" customHeight="1">
      <c r="A134" s="35" t="s">
        <v>1043</v>
      </c>
      <c r="B134" s="35"/>
      <c r="C134" s="35"/>
      <c r="D134" s="35"/>
      <c r="E134" s="87"/>
      <c r="F134" s="88"/>
      <c r="G134" s="88"/>
      <c r="H134" s="88"/>
      <c r="I134" s="88"/>
    </row>
    <row r="135" spans="1:9" s="79" customFormat="1" ht="25.5" customHeight="1">
      <c r="A135" s="35" t="s">
        <v>1027</v>
      </c>
      <c r="B135" s="35"/>
      <c r="C135" s="35"/>
      <c r="D135" s="35"/>
      <c r="E135" s="87"/>
      <c r="F135" s="88"/>
      <c r="G135" s="88"/>
      <c r="H135" s="88"/>
      <c r="I135" s="88"/>
    </row>
    <row r="136" spans="1:9" s="79" customFormat="1" ht="25.5" customHeight="1">
      <c r="A136" s="35" t="s">
        <v>930</v>
      </c>
      <c r="B136" s="35" t="s">
        <v>1046</v>
      </c>
      <c r="C136" s="35"/>
      <c r="D136" s="35"/>
      <c r="E136" s="87"/>
      <c r="F136" s="88"/>
      <c r="G136" s="88"/>
      <c r="H136" s="88"/>
      <c r="I136" s="88"/>
    </row>
    <row r="137" spans="1:9" s="79" customFormat="1" ht="25.5" customHeight="1">
      <c r="A137" s="35" t="s">
        <v>1047</v>
      </c>
      <c r="B137" s="35"/>
      <c r="C137" s="35"/>
      <c r="D137" s="35"/>
      <c r="E137" s="87"/>
      <c r="F137" s="88"/>
      <c r="G137" s="88"/>
      <c r="H137" s="88"/>
      <c r="I137" s="88"/>
    </row>
    <row r="138" spans="1:9" s="79" customFormat="1" ht="25.5" customHeight="1">
      <c r="A138" s="35" t="s">
        <v>930</v>
      </c>
      <c r="B138" s="35" t="s">
        <v>1045</v>
      </c>
      <c r="C138" s="35"/>
      <c r="D138" s="35"/>
      <c r="E138" s="87"/>
      <c r="F138" s="88"/>
      <c r="G138" s="88"/>
      <c r="H138" s="88"/>
      <c r="I138" s="88"/>
    </row>
    <row r="139" spans="1:9" s="79" customFormat="1" ht="25.5" customHeight="1">
      <c r="A139" s="35" t="s">
        <v>1048</v>
      </c>
      <c r="B139" s="35"/>
      <c r="C139" s="35"/>
      <c r="D139" s="35"/>
      <c r="E139" s="87"/>
      <c r="F139" s="88"/>
      <c r="G139" s="88"/>
      <c r="H139" s="88"/>
      <c r="I139" s="88"/>
    </row>
    <row r="140" spans="1:9" s="79" customFormat="1" ht="25.5" customHeight="1">
      <c r="A140" s="35" t="s">
        <v>1049</v>
      </c>
      <c r="B140" s="35"/>
      <c r="C140" s="35"/>
      <c r="D140" s="35"/>
      <c r="E140" s="87"/>
      <c r="F140" s="88"/>
      <c r="G140" s="88"/>
      <c r="H140" s="88"/>
      <c r="I140" s="88"/>
    </row>
    <row r="141" spans="1:9" s="79" customFormat="1" ht="25.5" customHeight="1">
      <c r="A141" s="35" t="s">
        <v>930</v>
      </c>
      <c r="B141" s="35" t="s">
        <v>1044</v>
      </c>
      <c r="C141" s="35"/>
      <c r="D141" s="35"/>
      <c r="E141" s="87"/>
      <c r="F141" s="88"/>
      <c r="G141" s="88"/>
      <c r="H141" s="88"/>
      <c r="I141" s="88"/>
    </row>
    <row r="142" spans="1:18" s="476" customFormat="1" ht="25.5" customHeight="1">
      <c r="A142" s="466" t="s">
        <v>1050</v>
      </c>
      <c r="B142" s="466"/>
      <c r="C142" s="466"/>
      <c r="D142" s="445"/>
      <c r="E142" s="478"/>
      <c r="F142" s="445"/>
      <c r="G142" s="445"/>
      <c r="H142" s="445"/>
      <c r="I142" s="445"/>
      <c r="J142" s="445"/>
      <c r="K142" s="445"/>
      <c r="L142" s="445"/>
      <c r="M142" s="36"/>
      <c r="P142" s="477"/>
      <c r="Q142" s="477"/>
      <c r="R142" s="477"/>
    </row>
    <row r="143" spans="1:18" s="476" customFormat="1" ht="25.5" customHeight="1">
      <c r="A143" s="466"/>
      <c r="B143" s="466" t="s">
        <v>926</v>
      </c>
      <c r="C143" s="466"/>
      <c r="D143" s="445"/>
      <c r="E143" s="445"/>
      <c r="F143" s="445"/>
      <c r="G143" s="445"/>
      <c r="H143" s="445"/>
      <c r="I143" s="445"/>
      <c r="J143" s="445"/>
      <c r="K143" s="445"/>
      <c r="L143" s="445"/>
      <c r="M143" s="36"/>
      <c r="P143" s="477"/>
      <c r="Q143" s="477"/>
      <c r="R143" s="477"/>
    </row>
    <row r="144" spans="1:18" s="476" customFormat="1" ht="25.5" customHeight="1">
      <c r="A144" s="466" t="s">
        <v>1051</v>
      </c>
      <c r="B144" s="466"/>
      <c r="C144" s="466"/>
      <c r="D144" s="445"/>
      <c r="E144" s="445"/>
      <c r="F144" s="445"/>
      <c r="G144" s="445"/>
      <c r="H144" s="445"/>
      <c r="I144" s="445"/>
      <c r="J144" s="445"/>
      <c r="K144" s="445"/>
      <c r="L144" s="445"/>
      <c r="M144" s="36"/>
      <c r="P144" s="477"/>
      <c r="Q144" s="477"/>
      <c r="R144" s="477"/>
    </row>
    <row r="145" spans="1:18" s="476" customFormat="1" ht="25.5" customHeight="1">
      <c r="A145" s="466" t="s">
        <v>1052</v>
      </c>
      <c r="B145" s="466"/>
      <c r="C145" s="466"/>
      <c r="D145" s="445"/>
      <c r="E145" s="445"/>
      <c r="F145" s="445"/>
      <c r="G145" s="445"/>
      <c r="H145" s="445"/>
      <c r="I145" s="445"/>
      <c r="J145" s="445"/>
      <c r="K145" s="445"/>
      <c r="L145" s="445"/>
      <c r="M145" s="36"/>
      <c r="P145" s="477"/>
      <c r="Q145" s="477"/>
      <c r="R145" s="477"/>
    </row>
    <row r="146" spans="1:18" s="476" customFormat="1" ht="25.5" customHeight="1">
      <c r="A146" s="466"/>
      <c r="B146" s="466" t="s">
        <v>927</v>
      </c>
      <c r="C146" s="466"/>
      <c r="D146" s="445"/>
      <c r="E146" s="445"/>
      <c r="F146" s="445"/>
      <c r="G146" s="445"/>
      <c r="H146" s="445"/>
      <c r="I146" s="445"/>
      <c r="J146" s="445"/>
      <c r="K146" s="445"/>
      <c r="L146" s="445"/>
      <c r="M146" s="36"/>
      <c r="P146" s="477"/>
      <c r="Q146" s="477"/>
      <c r="R146" s="477"/>
    </row>
    <row r="147" spans="1:18" s="476" customFormat="1" ht="25.5" customHeight="1">
      <c r="A147" s="466" t="s">
        <v>1053</v>
      </c>
      <c r="B147" s="466"/>
      <c r="C147" s="466"/>
      <c r="D147" s="445"/>
      <c r="E147" s="445"/>
      <c r="F147" s="445"/>
      <c r="G147" s="445"/>
      <c r="H147" s="445"/>
      <c r="I147" s="445"/>
      <c r="J147" s="445"/>
      <c r="K147" s="445"/>
      <c r="L147" s="445"/>
      <c r="M147" s="36"/>
      <c r="P147" s="477"/>
      <c r="Q147" s="477"/>
      <c r="R147" s="477"/>
    </row>
    <row r="148" spans="1:18" s="476" customFormat="1" ht="25.5" customHeight="1">
      <c r="A148" s="466"/>
      <c r="B148" s="466"/>
      <c r="C148" s="466"/>
      <c r="D148" s="445"/>
      <c r="E148" s="445"/>
      <c r="F148" s="445"/>
      <c r="G148" s="445"/>
      <c r="H148" s="445"/>
      <c r="I148" s="445"/>
      <c r="J148" s="445"/>
      <c r="K148" s="445"/>
      <c r="L148" s="445"/>
      <c r="M148" s="36"/>
      <c r="P148" s="477"/>
      <c r="Q148" s="477"/>
      <c r="R148" s="477"/>
    </row>
    <row r="149" spans="1:18" s="476" customFormat="1" ht="25.5" customHeight="1">
      <c r="A149" s="466"/>
      <c r="B149" s="466"/>
      <c r="C149" s="466"/>
      <c r="D149" s="445"/>
      <c r="E149" s="445"/>
      <c r="F149" s="445"/>
      <c r="G149" s="445"/>
      <c r="H149" s="445"/>
      <c r="I149" s="445"/>
      <c r="J149" s="445"/>
      <c r="K149" s="445"/>
      <c r="L149" s="445"/>
      <c r="M149" s="36"/>
      <c r="P149" s="477"/>
      <c r="Q149" s="477"/>
      <c r="R149" s="477"/>
    </row>
    <row r="150" spans="1:18" s="476" customFormat="1" ht="25.5" customHeight="1">
      <c r="A150" s="466"/>
      <c r="B150" s="466"/>
      <c r="C150" s="466"/>
      <c r="D150" s="445"/>
      <c r="E150" s="445"/>
      <c r="F150" s="445"/>
      <c r="G150" s="445"/>
      <c r="H150" s="445"/>
      <c r="I150" s="445"/>
      <c r="J150" s="445"/>
      <c r="K150" s="445"/>
      <c r="L150" s="445"/>
      <c r="M150" s="36"/>
      <c r="P150" s="477"/>
      <c r="Q150" s="477"/>
      <c r="R150" s="477"/>
    </row>
    <row r="151" spans="1:13" s="437" customFormat="1" ht="25.5" customHeight="1">
      <c r="A151" s="138" t="s">
        <v>891</v>
      </c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</row>
    <row r="152" spans="1:13" s="437" customFormat="1" ht="25.5" customHeight="1">
      <c r="A152" s="138"/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</row>
    <row r="153" spans="1:13" s="437" customFormat="1" ht="25.5" customHeight="1">
      <c r="A153" s="138"/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</row>
    <row r="154" spans="1:14" s="436" customFormat="1" ht="25.5" customHeight="1">
      <c r="A154" s="145" t="s">
        <v>933</v>
      </c>
      <c r="B154" s="438"/>
      <c r="C154" s="438"/>
      <c r="D154" s="438"/>
      <c r="E154" s="439"/>
      <c r="F154" s="439"/>
      <c r="G154" s="439"/>
      <c r="H154" s="439"/>
      <c r="I154" s="439"/>
      <c r="J154" s="439"/>
      <c r="K154" s="439"/>
      <c r="L154" s="439"/>
      <c r="M154" s="439"/>
      <c r="N154" s="440"/>
    </row>
    <row r="155" spans="1:9" s="79" customFormat="1" ht="25.5" customHeight="1">
      <c r="A155" s="35"/>
      <c r="B155" s="35"/>
      <c r="C155" s="35"/>
      <c r="D155" s="35"/>
      <c r="E155" s="87"/>
      <c r="F155" s="88"/>
      <c r="G155" s="88"/>
      <c r="H155" s="88"/>
      <c r="I155" s="88"/>
    </row>
    <row r="156" spans="1:15" s="437" customFormat="1" ht="25.5" customHeight="1">
      <c r="A156" s="132" t="s">
        <v>925</v>
      </c>
      <c r="F156" s="131"/>
      <c r="H156" s="441"/>
      <c r="L156" s="441"/>
      <c r="N156" s="436"/>
      <c r="O156" s="436"/>
    </row>
    <row r="157" spans="1:9" s="79" customFormat="1" ht="25.5" customHeight="1">
      <c r="A157" s="35" t="s">
        <v>1054</v>
      </c>
      <c r="B157" s="35"/>
      <c r="C157" s="35"/>
      <c r="D157" s="35"/>
      <c r="E157" s="87"/>
      <c r="F157" s="88"/>
      <c r="G157" s="88"/>
      <c r="H157" s="88"/>
      <c r="I157" s="88"/>
    </row>
    <row r="158" spans="1:9" s="79" customFormat="1" ht="25.5" customHeight="1">
      <c r="A158" s="35" t="s">
        <v>1055</v>
      </c>
      <c r="B158" s="35" t="s">
        <v>1056</v>
      </c>
      <c r="C158" s="35"/>
      <c r="D158" s="35"/>
      <c r="E158" s="87"/>
      <c r="F158" s="88"/>
      <c r="G158" s="88"/>
      <c r="H158" s="88"/>
      <c r="I158" s="88"/>
    </row>
    <row r="159" spans="1:9" s="79" customFormat="1" ht="25.5" customHeight="1">
      <c r="A159" s="35" t="s">
        <v>1057</v>
      </c>
      <c r="B159" s="35"/>
      <c r="C159" s="35"/>
      <c r="D159" s="35"/>
      <c r="E159" s="87"/>
      <c r="F159" s="88"/>
      <c r="G159" s="88"/>
      <c r="H159" s="88"/>
      <c r="I159" s="88"/>
    </row>
    <row r="160" spans="1:9" s="79" customFormat="1" ht="25.5" customHeight="1">
      <c r="A160" s="35" t="s">
        <v>1058</v>
      </c>
      <c r="B160" s="35"/>
      <c r="C160" s="35"/>
      <c r="D160" s="35"/>
      <c r="E160" s="87"/>
      <c r="F160" s="88"/>
      <c r="G160" s="88"/>
      <c r="H160" s="88"/>
      <c r="I160" s="88"/>
    </row>
    <row r="161" spans="1:9" s="79" customFormat="1" ht="25.5" customHeight="1">
      <c r="A161" s="35" t="s">
        <v>803</v>
      </c>
      <c r="B161" s="35" t="s">
        <v>1059</v>
      </c>
      <c r="C161" s="35"/>
      <c r="D161" s="35"/>
      <c r="E161" s="87"/>
      <c r="F161" s="88"/>
      <c r="G161" s="88"/>
      <c r="H161" s="88"/>
      <c r="I161" s="88"/>
    </row>
    <row r="162" spans="1:9" s="79" customFormat="1" ht="25.5" customHeight="1">
      <c r="A162" s="35" t="s">
        <v>1060</v>
      </c>
      <c r="B162" s="35"/>
      <c r="C162" s="35"/>
      <c r="D162" s="35"/>
      <c r="E162" s="87"/>
      <c r="F162" s="88"/>
      <c r="G162" s="88"/>
      <c r="H162" s="88"/>
      <c r="I162" s="88"/>
    </row>
    <row r="163" spans="1:9" s="79" customFormat="1" ht="25.5" customHeight="1">
      <c r="A163" s="35" t="s">
        <v>1061</v>
      </c>
      <c r="B163" s="35"/>
      <c r="C163" s="35"/>
      <c r="D163" s="35"/>
      <c r="E163" s="87"/>
      <c r="F163" s="88"/>
      <c r="G163" s="88"/>
      <c r="H163" s="88"/>
      <c r="I163" s="88"/>
    </row>
    <row r="164" spans="1:9" s="79" customFormat="1" ht="25.5" customHeight="1">
      <c r="A164" s="35" t="s">
        <v>930</v>
      </c>
      <c r="B164" s="35" t="s">
        <v>1062</v>
      </c>
      <c r="C164" s="35"/>
      <c r="D164" s="35"/>
      <c r="E164" s="87"/>
      <c r="F164" s="88"/>
      <c r="G164" s="88"/>
      <c r="H164" s="88"/>
      <c r="I164" s="88"/>
    </row>
    <row r="165" spans="1:9" s="79" customFormat="1" ht="25.5" customHeight="1">
      <c r="A165" s="35" t="s">
        <v>1063</v>
      </c>
      <c r="B165" s="35"/>
      <c r="C165" s="35"/>
      <c r="D165" s="35"/>
      <c r="E165" s="87"/>
      <c r="F165" s="88"/>
      <c r="G165" s="88"/>
      <c r="H165" s="88"/>
      <c r="I165" s="88"/>
    </row>
    <row r="166" spans="1:9" s="79" customFormat="1" ht="25.5" customHeight="1">
      <c r="A166" s="35" t="s">
        <v>740</v>
      </c>
      <c r="B166" s="35"/>
      <c r="C166" s="35"/>
      <c r="D166" s="35"/>
      <c r="E166" s="87"/>
      <c r="F166" s="88"/>
      <c r="G166" s="88"/>
      <c r="H166" s="88"/>
      <c r="I166" s="88"/>
    </row>
    <row r="167" spans="1:9" s="79" customFormat="1" ht="25.5" customHeight="1">
      <c r="A167" s="35" t="s">
        <v>930</v>
      </c>
      <c r="B167" s="35" t="s">
        <v>1064</v>
      </c>
      <c r="C167" s="35"/>
      <c r="D167" s="35"/>
      <c r="E167" s="87"/>
      <c r="F167" s="88"/>
      <c r="G167" s="88"/>
      <c r="H167" s="88"/>
      <c r="I167" s="88"/>
    </row>
    <row r="168" spans="3:9" s="79" customFormat="1" ht="25.5" customHeight="1">
      <c r="C168" s="89" t="s">
        <v>1065</v>
      </c>
      <c r="D168" s="35"/>
      <c r="H168" s="88"/>
      <c r="I168" s="90" t="s">
        <v>736</v>
      </c>
    </row>
    <row r="169" spans="3:9" s="79" customFormat="1" ht="25.5" customHeight="1">
      <c r="C169" s="89" t="s">
        <v>1066</v>
      </c>
      <c r="D169" s="35"/>
      <c r="H169" s="88"/>
      <c r="I169" s="90" t="s">
        <v>738</v>
      </c>
    </row>
    <row r="170" spans="3:9" s="79" customFormat="1" ht="25.5" customHeight="1">
      <c r="C170" s="89" t="s">
        <v>1067</v>
      </c>
      <c r="D170" s="35"/>
      <c r="H170" s="88"/>
      <c r="I170" s="90" t="s">
        <v>737</v>
      </c>
    </row>
    <row r="171" spans="3:9" s="79" customFormat="1" ht="25.5" customHeight="1">
      <c r="C171" s="89" t="s">
        <v>1068</v>
      </c>
      <c r="D171" s="35"/>
      <c r="H171" s="88"/>
      <c r="I171" s="90" t="s">
        <v>739</v>
      </c>
    </row>
    <row r="172" spans="1:9" s="79" customFormat="1" ht="25.5" customHeight="1">
      <c r="A172" s="89" t="s">
        <v>1078</v>
      </c>
      <c r="B172" s="89"/>
      <c r="C172" s="35"/>
      <c r="D172" s="35"/>
      <c r="F172" s="88"/>
      <c r="G172" s="88"/>
      <c r="H172" s="90"/>
      <c r="I172" s="88"/>
    </row>
    <row r="173" spans="1:9" s="79" customFormat="1" ht="25.5" customHeight="1">
      <c r="A173" s="89" t="s">
        <v>803</v>
      </c>
      <c r="B173" s="89" t="s">
        <v>1070</v>
      </c>
      <c r="C173" s="35"/>
      <c r="D173" s="35"/>
      <c r="F173" s="88"/>
      <c r="G173" s="88"/>
      <c r="H173" s="90"/>
      <c r="I173" s="88"/>
    </row>
    <row r="174" spans="1:9" s="79" customFormat="1" ht="25.5" customHeight="1">
      <c r="A174" s="89" t="s">
        <v>1071</v>
      </c>
      <c r="B174" s="89"/>
      <c r="C174" s="35"/>
      <c r="D174" s="35"/>
      <c r="F174" s="88"/>
      <c r="G174" s="88"/>
      <c r="H174" s="90"/>
      <c r="I174" s="88"/>
    </row>
    <row r="175" spans="1:9" s="79" customFormat="1" ht="25.5" customHeight="1">
      <c r="A175" s="35" t="s">
        <v>1079</v>
      </c>
      <c r="B175" s="35"/>
      <c r="C175" s="35"/>
      <c r="D175" s="35"/>
      <c r="E175" s="87"/>
      <c r="F175" s="88"/>
      <c r="G175" s="88"/>
      <c r="H175" s="88"/>
      <c r="I175" s="88"/>
    </row>
    <row r="176" spans="1:9" s="79" customFormat="1" ht="25.5" customHeight="1">
      <c r="A176" s="35" t="s">
        <v>803</v>
      </c>
      <c r="B176" s="35" t="s">
        <v>1072</v>
      </c>
      <c r="C176" s="35"/>
      <c r="D176" s="35"/>
      <c r="E176" s="87"/>
      <c r="F176" s="88"/>
      <c r="G176" s="88"/>
      <c r="H176" s="88"/>
      <c r="I176" s="88"/>
    </row>
    <row r="177" spans="1:9" s="79" customFormat="1" ht="25.5" customHeight="1">
      <c r="A177" s="35" t="s">
        <v>1080</v>
      </c>
      <c r="B177" s="35"/>
      <c r="C177" s="35"/>
      <c r="D177" s="35"/>
      <c r="E177" s="87"/>
      <c r="F177" s="88"/>
      <c r="G177" s="88"/>
      <c r="H177" s="88"/>
      <c r="I177" s="88"/>
    </row>
    <row r="178" spans="1:9" s="79" customFormat="1" ht="25.5" customHeight="1">
      <c r="A178" s="35" t="s">
        <v>1081</v>
      </c>
      <c r="B178" s="35"/>
      <c r="C178" s="35"/>
      <c r="D178" s="35"/>
      <c r="E178" s="87"/>
      <c r="F178" s="88"/>
      <c r="G178" s="88"/>
      <c r="H178" s="91"/>
      <c r="I178" s="88"/>
    </row>
    <row r="179" spans="1:9" s="79" customFormat="1" ht="25.5" customHeight="1">
      <c r="A179" s="35" t="s">
        <v>1082</v>
      </c>
      <c r="B179" s="35"/>
      <c r="C179" s="35"/>
      <c r="D179" s="35"/>
      <c r="E179" s="87"/>
      <c r="F179" s="88"/>
      <c r="G179" s="88"/>
      <c r="H179" s="88"/>
      <c r="I179" s="88"/>
    </row>
    <row r="180" spans="1:9" s="79" customFormat="1" ht="25.5" customHeight="1">
      <c r="A180" s="35" t="s">
        <v>1055</v>
      </c>
      <c r="B180" s="35" t="s">
        <v>1073</v>
      </c>
      <c r="C180" s="35"/>
      <c r="D180" s="35"/>
      <c r="E180" s="87"/>
      <c r="F180" s="88"/>
      <c r="G180" s="88"/>
      <c r="H180" s="88"/>
      <c r="I180" s="88"/>
    </row>
    <row r="181" spans="1:9" s="79" customFormat="1" ht="25.5" customHeight="1">
      <c r="A181" s="35" t="s">
        <v>803</v>
      </c>
      <c r="B181" s="35" t="s">
        <v>1074</v>
      </c>
      <c r="C181" s="35"/>
      <c r="D181" s="35"/>
      <c r="E181" s="87"/>
      <c r="F181" s="88"/>
      <c r="G181" s="88"/>
      <c r="H181" s="88"/>
      <c r="I181" s="88"/>
    </row>
    <row r="182" spans="1:9" s="79" customFormat="1" ht="25.5" customHeight="1">
      <c r="A182" s="35" t="s">
        <v>1083</v>
      </c>
      <c r="B182" s="35"/>
      <c r="C182" s="35"/>
      <c r="D182" s="35"/>
      <c r="E182" s="87"/>
      <c r="F182" s="88"/>
      <c r="G182" s="88"/>
      <c r="H182" s="91"/>
      <c r="I182" s="88"/>
    </row>
    <row r="183" spans="1:9" s="79" customFormat="1" ht="25.5" customHeight="1">
      <c r="A183" s="35" t="s">
        <v>1055</v>
      </c>
      <c r="B183" s="35" t="s">
        <v>1075</v>
      </c>
      <c r="C183" s="35"/>
      <c r="D183" s="35"/>
      <c r="E183" s="87"/>
      <c r="F183" s="88"/>
      <c r="G183" s="88"/>
      <c r="H183" s="91"/>
      <c r="I183" s="88"/>
    </row>
    <row r="184" spans="1:9" s="79" customFormat="1" ht="25.5" customHeight="1">
      <c r="A184" s="35" t="s">
        <v>1076</v>
      </c>
      <c r="B184" s="35"/>
      <c r="C184" s="35"/>
      <c r="D184" s="35"/>
      <c r="E184" s="87"/>
      <c r="F184" s="88"/>
      <c r="G184" s="88"/>
      <c r="H184" s="88"/>
      <c r="I184" s="88"/>
    </row>
    <row r="185" spans="1:9" s="79" customFormat="1" ht="25.5" customHeight="1">
      <c r="A185" s="35" t="s">
        <v>1055</v>
      </c>
      <c r="B185" s="35" t="s">
        <v>1077</v>
      </c>
      <c r="C185" s="35"/>
      <c r="D185" s="35"/>
      <c r="E185" s="87"/>
      <c r="F185" s="88"/>
      <c r="G185" s="88"/>
      <c r="H185" s="88"/>
      <c r="I185" s="88"/>
    </row>
    <row r="186" spans="1:9" s="79" customFormat="1" ht="25.5" customHeight="1">
      <c r="A186" s="35" t="s">
        <v>1084</v>
      </c>
      <c r="B186" s="35"/>
      <c r="C186" s="35"/>
      <c r="D186" s="35"/>
      <c r="E186" s="87"/>
      <c r="F186" s="88"/>
      <c r="G186" s="88"/>
      <c r="H186" s="88"/>
      <c r="I186" s="88"/>
    </row>
    <row r="187" spans="1:9" s="79" customFormat="1" ht="25.5" customHeight="1">
      <c r="A187" s="35" t="s">
        <v>1055</v>
      </c>
      <c r="B187" s="35" t="s">
        <v>1085</v>
      </c>
      <c r="C187" s="35"/>
      <c r="D187" s="35"/>
      <c r="E187" s="87"/>
      <c r="F187" s="88"/>
      <c r="G187" s="88"/>
      <c r="H187" s="88"/>
      <c r="I187" s="88"/>
    </row>
    <row r="188" spans="1:9" s="79" customFormat="1" ht="25.5" customHeight="1">
      <c r="A188" s="35" t="s">
        <v>1086</v>
      </c>
      <c r="B188" s="35"/>
      <c r="C188" s="35"/>
      <c r="D188" s="35"/>
      <c r="E188" s="87"/>
      <c r="F188" s="88"/>
      <c r="G188" s="88"/>
      <c r="H188" s="88"/>
      <c r="I188" s="88"/>
    </row>
    <row r="189" spans="1:9" s="79" customFormat="1" ht="25.5" customHeight="1">
      <c r="A189" s="35"/>
      <c r="B189" s="35"/>
      <c r="C189" s="35"/>
      <c r="D189" s="35"/>
      <c r="E189" s="87"/>
      <c r="F189" s="88"/>
      <c r="G189" s="88"/>
      <c r="H189" s="88"/>
      <c r="I189" s="88"/>
    </row>
    <row r="190" spans="1:13" s="437" customFormat="1" ht="25.5" customHeight="1">
      <c r="A190" s="138" t="s">
        <v>891</v>
      </c>
      <c r="B190" s="138"/>
      <c r="C190" s="138"/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</row>
    <row r="191" spans="1:13" s="437" customFormat="1" ht="25.5" customHeight="1">
      <c r="A191" s="138"/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</row>
    <row r="192" spans="1:14" s="436" customFormat="1" ht="25.5" customHeight="1">
      <c r="A192" s="145" t="s">
        <v>956</v>
      </c>
      <c r="B192" s="438"/>
      <c r="C192" s="438"/>
      <c r="D192" s="438"/>
      <c r="E192" s="439"/>
      <c r="F192" s="439"/>
      <c r="G192" s="439"/>
      <c r="H192" s="439"/>
      <c r="I192" s="439"/>
      <c r="J192" s="439"/>
      <c r="K192" s="439"/>
      <c r="L192" s="439"/>
      <c r="M192" s="439"/>
      <c r="N192" s="440"/>
    </row>
    <row r="193" spans="1:15" s="437" customFormat="1" ht="25.5" customHeight="1">
      <c r="A193" s="132" t="s">
        <v>925</v>
      </c>
      <c r="F193" s="131"/>
      <c r="H193" s="441"/>
      <c r="L193" s="441"/>
      <c r="N193" s="436"/>
      <c r="O193" s="436"/>
    </row>
    <row r="194" spans="1:9" s="17" customFormat="1" ht="25.5" customHeight="1">
      <c r="A194" s="35" t="s">
        <v>1087</v>
      </c>
      <c r="B194" s="35"/>
      <c r="C194" s="35"/>
      <c r="D194" s="35"/>
      <c r="E194" s="87"/>
      <c r="F194" s="88"/>
      <c r="G194" s="88"/>
      <c r="H194" s="88"/>
      <c r="I194" s="88"/>
    </row>
    <row r="195" spans="1:10" s="128" customFormat="1" ht="25.5" customHeight="1">
      <c r="A195" s="132"/>
      <c r="B195" s="133" t="s">
        <v>149</v>
      </c>
      <c r="F195" s="134"/>
      <c r="H195" s="134"/>
      <c r="J195" s="135"/>
    </row>
    <row r="196" spans="1:10" s="128" customFormat="1" ht="25.5" customHeight="1">
      <c r="A196" s="132"/>
      <c r="B196" s="128" t="s">
        <v>432</v>
      </c>
      <c r="F196" s="134"/>
      <c r="H196" s="134"/>
      <c r="J196" s="135"/>
    </row>
    <row r="197" spans="1:10" s="128" customFormat="1" ht="25.5" customHeight="1">
      <c r="A197" s="132"/>
      <c r="B197" s="133" t="s">
        <v>433</v>
      </c>
      <c r="F197" s="134"/>
      <c r="H197" s="134"/>
      <c r="J197" s="135"/>
    </row>
    <row r="198" spans="1:10" s="128" customFormat="1" ht="25.5" customHeight="1">
      <c r="A198" s="132"/>
      <c r="B198" s="128" t="s">
        <v>1090</v>
      </c>
      <c r="F198" s="134"/>
      <c r="H198" s="134"/>
      <c r="J198" s="135"/>
    </row>
    <row r="199" spans="1:10" s="128" customFormat="1" ht="25.5" customHeight="1">
      <c r="A199" s="132"/>
      <c r="B199" s="128" t="s">
        <v>1088</v>
      </c>
      <c r="F199" s="134"/>
      <c r="H199" s="134"/>
      <c r="J199" s="135"/>
    </row>
    <row r="200" spans="1:10" s="128" customFormat="1" ht="25.5" customHeight="1">
      <c r="A200" s="132"/>
      <c r="B200" s="133" t="s">
        <v>434</v>
      </c>
      <c r="F200" s="134"/>
      <c r="H200" s="134"/>
      <c r="J200" s="135"/>
    </row>
    <row r="201" spans="1:10" s="128" customFormat="1" ht="25.5" customHeight="1">
      <c r="A201" s="132"/>
      <c r="B201" s="128" t="s">
        <v>1091</v>
      </c>
      <c r="F201" s="134"/>
      <c r="H201" s="134"/>
      <c r="J201" s="135"/>
    </row>
    <row r="202" s="128" customFormat="1" ht="25.5" customHeight="1">
      <c r="B202" s="128" t="s">
        <v>435</v>
      </c>
    </row>
    <row r="203" s="128" customFormat="1" ht="25.5" customHeight="1">
      <c r="B203" s="128" t="s">
        <v>436</v>
      </c>
    </row>
    <row r="204" s="128" customFormat="1" ht="25.5" customHeight="1">
      <c r="B204" s="128" t="s">
        <v>1089</v>
      </c>
    </row>
    <row r="205" s="128" customFormat="1" ht="25.5" customHeight="1">
      <c r="B205" s="128" t="s">
        <v>1092</v>
      </c>
    </row>
    <row r="206" s="128" customFormat="1" ht="25.5" customHeight="1">
      <c r="B206" s="128" t="s">
        <v>1093</v>
      </c>
    </row>
    <row r="207" s="128" customFormat="1" ht="25.5" customHeight="1">
      <c r="B207" s="128" t="s">
        <v>1094</v>
      </c>
    </row>
    <row r="208" s="128" customFormat="1" ht="25.5" customHeight="1">
      <c r="B208" s="128" t="s">
        <v>1095</v>
      </c>
    </row>
    <row r="209" s="128" customFormat="1" ht="25.5" customHeight="1">
      <c r="B209" s="128" t="s">
        <v>1096</v>
      </c>
    </row>
    <row r="210" spans="1:10" s="128" customFormat="1" ht="25.5" customHeight="1">
      <c r="A210" s="132"/>
      <c r="B210" s="128" t="s">
        <v>1097</v>
      </c>
      <c r="F210" s="134"/>
      <c r="H210" s="134"/>
      <c r="J210" s="135"/>
    </row>
    <row r="211" spans="1:10" s="128" customFormat="1" ht="25.5" customHeight="1">
      <c r="A211" s="132"/>
      <c r="B211" s="128" t="s">
        <v>1098</v>
      </c>
      <c r="F211" s="134"/>
      <c r="H211" s="134"/>
      <c r="J211" s="135"/>
    </row>
    <row r="212" spans="1:18" s="476" customFormat="1" ht="25.5" customHeight="1">
      <c r="A212" s="479" t="s">
        <v>1099</v>
      </c>
      <c r="B212" s="480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P212" s="477"/>
      <c r="Q212" s="477"/>
      <c r="R212" s="477"/>
    </row>
    <row r="213" spans="1:18" s="476" customFormat="1" ht="25.5" customHeight="1">
      <c r="A213" s="479" t="s">
        <v>928</v>
      </c>
      <c r="B213" s="480" t="s">
        <v>1837</v>
      </c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P213" s="477"/>
      <c r="Q213" s="477"/>
      <c r="R213" s="477"/>
    </row>
    <row r="214" spans="1:18" s="476" customFormat="1" ht="25.5" customHeight="1">
      <c r="A214" s="479" t="s">
        <v>1100</v>
      </c>
      <c r="B214" s="480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P214" s="477"/>
      <c r="Q214" s="477"/>
      <c r="R214" s="477"/>
    </row>
    <row r="215" spans="1:18" s="476" customFormat="1" ht="25.5" customHeight="1">
      <c r="A215" s="479" t="s">
        <v>928</v>
      </c>
      <c r="B215" s="480" t="s">
        <v>1838</v>
      </c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P215" s="477"/>
      <c r="Q215" s="477"/>
      <c r="R215" s="477"/>
    </row>
    <row r="216" spans="1:18" s="476" customFormat="1" ht="25.5" customHeight="1">
      <c r="A216" s="479" t="s">
        <v>1102</v>
      </c>
      <c r="B216" s="480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P216" s="477"/>
      <c r="Q216" s="477"/>
      <c r="R216" s="477"/>
    </row>
    <row r="217" spans="1:18" s="476" customFormat="1" ht="25.5" customHeight="1">
      <c r="A217" s="479" t="s">
        <v>1101</v>
      </c>
      <c r="B217" s="480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P217" s="477"/>
      <c r="Q217" s="477"/>
      <c r="R217" s="477"/>
    </row>
    <row r="218" spans="1:9" s="17" customFormat="1" ht="25.5" customHeight="1">
      <c r="A218" s="35" t="s">
        <v>1103</v>
      </c>
      <c r="B218" s="35"/>
      <c r="C218" s="35"/>
      <c r="D218" s="35"/>
      <c r="E218" s="87"/>
      <c r="F218" s="88"/>
      <c r="G218" s="88"/>
      <c r="H218" s="88"/>
      <c r="I218" s="88"/>
    </row>
    <row r="219" spans="1:9" s="17" customFormat="1" ht="25.5" customHeight="1">
      <c r="A219" s="35" t="s">
        <v>1055</v>
      </c>
      <c r="B219" s="35" t="s">
        <v>1104</v>
      </c>
      <c r="C219" s="35"/>
      <c r="D219" s="35"/>
      <c r="E219" s="87"/>
      <c r="F219" s="88"/>
      <c r="G219" s="88"/>
      <c r="H219" s="88"/>
      <c r="I219" s="88"/>
    </row>
    <row r="220" spans="1:9" s="17" customFormat="1" ht="25.5" customHeight="1">
      <c r="A220" s="35" t="s">
        <v>1105</v>
      </c>
      <c r="B220" s="35"/>
      <c r="C220" s="35"/>
      <c r="D220" s="35"/>
      <c r="E220" s="87"/>
      <c r="F220" s="88"/>
      <c r="G220" s="88"/>
      <c r="H220" s="88"/>
      <c r="I220" s="88"/>
    </row>
    <row r="221" spans="1:9" s="17" customFormat="1" ht="25.5" customHeight="1">
      <c r="A221" s="35" t="s">
        <v>1106</v>
      </c>
      <c r="B221" s="35"/>
      <c r="C221" s="35"/>
      <c r="D221" s="35"/>
      <c r="E221" s="87"/>
      <c r="F221" s="88"/>
      <c r="G221" s="88"/>
      <c r="H221" s="88"/>
      <c r="I221" s="88"/>
    </row>
    <row r="222" spans="1:9" s="17" customFormat="1" ht="25.5" customHeight="1">
      <c r="A222" s="35" t="s">
        <v>1055</v>
      </c>
      <c r="B222" s="35" t="s">
        <v>1836</v>
      </c>
      <c r="C222" s="35"/>
      <c r="D222" s="35"/>
      <c r="E222" s="87"/>
      <c r="F222" s="88"/>
      <c r="G222" s="88"/>
      <c r="H222" s="88"/>
      <c r="I222" s="88"/>
    </row>
    <row r="223" spans="1:9" s="17" customFormat="1" ht="25.5" customHeight="1">
      <c r="A223" s="35"/>
      <c r="B223" s="35"/>
      <c r="C223" s="35"/>
      <c r="D223" s="35"/>
      <c r="E223" s="87"/>
      <c r="F223" s="88"/>
      <c r="G223" s="88"/>
      <c r="H223" s="88"/>
      <c r="I223" s="88"/>
    </row>
    <row r="224" spans="1:9" s="17" customFormat="1" ht="25.5" customHeight="1">
      <c r="A224" s="35"/>
      <c r="B224" s="35"/>
      <c r="C224" s="35"/>
      <c r="D224" s="35"/>
      <c r="E224" s="87"/>
      <c r="F224" s="88"/>
      <c r="G224" s="88"/>
      <c r="H224" s="88"/>
      <c r="I224" s="88"/>
    </row>
    <row r="225" spans="1:9" s="17" customFormat="1" ht="25.5" customHeight="1">
      <c r="A225" s="35"/>
      <c r="B225" s="35"/>
      <c r="C225" s="35"/>
      <c r="D225" s="35"/>
      <c r="E225" s="87"/>
      <c r="F225" s="88"/>
      <c r="G225" s="88"/>
      <c r="H225" s="88"/>
      <c r="I225" s="88"/>
    </row>
    <row r="226" spans="1:9" s="17" customFormat="1" ht="25.5" customHeight="1">
      <c r="A226" s="35"/>
      <c r="B226" s="35"/>
      <c r="C226" s="35"/>
      <c r="D226" s="35"/>
      <c r="E226" s="87"/>
      <c r="F226" s="88"/>
      <c r="G226" s="88"/>
      <c r="H226" s="88"/>
      <c r="I226" s="88"/>
    </row>
    <row r="227" spans="1:13" s="437" customFormat="1" ht="25.5" customHeight="1">
      <c r="A227" s="138" t="s">
        <v>891</v>
      </c>
      <c r="B227" s="138"/>
      <c r="C227" s="138"/>
      <c r="D227" s="138"/>
      <c r="E227" s="138"/>
      <c r="F227" s="138"/>
      <c r="G227" s="138"/>
      <c r="H227" s="138"/>
      <c r="I227" s="138"/>
      <c r="J227" s="138"/>
      <c r="K227" s="138"/>
      <c r="L227" s="138"/>
      <c r="M227" s="138"/>
    </row>
    <row r="228" spans="1:13" s="437" customFormat="1" ht="25.5" customHeight="1">
      <c r="A228" s="138"/>
      <c r="B228" s="138"/>
      <c r="C228" s="138"/>
      <c r="D228" s="138"/>
      <c r="E228" s="138"/>
      <c r="F228" s="138"/>
      <c r="G228" s="138"/>
      <c r="H228" s="138"/>
      <c r="I228" s="138"/>
      <c r="J228" s="138"/>
      <c r="K228" s="138"/>
      <c r="L228" s="138"/>
      <c r="M228" s="138"/>
    </row>
    <row r="229" spans="1:13" s="437" customFormat="1" ht="25.5" customHeight="1">
      <c r="A229" s="138"/>
      <c r="B229" s="138"/>
      <c r="C229" s="138"/>
      <c r="D229" s="138"/>
      <c r="E229" s="138"/>
      <c r="F229" s="138"/>
      <c r="G229" s="138"/>
      <c r="H229" s="138"/>
      <c r="I229" s="138"/>
      <c r="J229" s="138"/>
      <c r="K229" s="138"/>
      <c r="L229" s="138"/>
      <c r="M229" s="138"/>
    </row>
    <row r="230" spans="1:14" s="436" customFormat="1" ht="25.5" customHeight="1">
      <c r="A230" s="145" t="s">
        <v>982</v>
      </c>
      <c r="B230" s="438"/>
      <c r="C230" s="438"/>
      <c r="D230" s="438"/>
      <c r="E230" s="439"/>
      <c r="F230" s="439"/>
      <c r="G230" s="439"/>
      <c r="H230" s="439"/>
      <c r="I230" s="439"/>
      <c r="J230" s="439"/>
      <c r="K230" s="439"/>
      <c r="L230" s="439"/>
      <c r="M230" s="439"/>
      <c r="N230" s="440"/>
    </row>
    <row r="231" spans="1:14" s="436" customFormat="1" ht="25.5" customHeight="1">
      <c r="A231" s="145"/>
      <c r="B231" s="438"/>
      <c r="C231" s="438"/>
      <c r="D231" s="438"/>
      <c r="E231" s="439"/>
      <c r="F231" s="439"/>
      <c r="G231" s="439"/>
      <c r="H231" s="439"/>
      <c r="I231" s="439"/>
      <c r="J231" s="439"/>
      <c r="K231" s="439"/>
      <c r="L231" s="439"/>
      <c r="M231" s="439"/>
      <c r="N231" s="440"/>
    </row>
    <row r="232" spans="1:15" s="437" customFormat="1" ht="25.5" customHeight="1">
      <c r="A232" s="132" t="s">
        <v>925</v>
      </c>
      <c r="F232" s="131"/>
      <c r="H232" s="441"/>
      <c r="L232" s="441"/>
      <c r="N232" s="436"/>
      <c r="O232" s="436"/>
    </row>
    <row r="233" spans="1:10" s="83" customFormat="1" ht="25.5" customHeight="1">
      <c r="A233" s="83" t="s">
        <v>1107</v>
      </c>
      <c r="C233" s="92"/>
      <c r="D233" s="92"/>
      <c r="E233" s="92"/>
      <c r="F233" s="92"/>
      <c r="G233" s="92"/>
      <c r="H233" s="92"/>
      <c r="I233" s="92"/>
      <c r="J233" s="92"/>
    </row>
    <row r="234" spans="1:10" s="83" customFormat="1" ht="25.5" customHeight="1">
      <c r="A234" s="35" t="s">
        <v>1055</v>
      </c>
      <c r="B234" s="83" t="s">
        <v>1108</v>
      </c>
      <c r="C234" s="92"/>
      <c r="D234" s="92"/>
      <c r="E234" s="92"/>
      <c r="F234" s="92"/>
      <c r="G234" s="92"/>
      <c r="H234" s="92"/>
      <c r="I234" s="92"/>
      <c r="J234" s="92"/>
    </row>
    <row r="235" spans="1:10" s="83" customFormat="1" ht="25.5" customHeight="1">
      <c r="A235" s="83" t="s">
        <v>1109</v>
      </c>
      <c r="C235" s="92"/>
      <c r="D235" s="92"/>
      <c r="E235" s="92"/>
      <c r="F235" s="92"/>
      <c r="G235" s="92"/>
      <c r="H235" s="92"/>
      <c r="I235" s="92"/>
      <c r="J235" s="92"/>
    </row>
    <row r="236" spans="1:10" s="83" customFormat="1" ht="25.5" customHeight="1">
      <c r="A236" s="83" t="s">
        <v>1110</v>
      </c>
      <c r="C236" s="92"/>
      <c r="D236" s="92"/>
      <c r="E236" s="92"/>
      <c r="F236" s="92"/>
      <c r="G236" s="92"/>
      <c r="H236" s="92"/>
      <c r="I236" s="92"/>
      <c r="J236" s="92"/>
    </row>
    <row r="237" spans="1:10" s="83" customFormat="1" ht="25.5" customHeight="1">
      <c r="A237" s="83" t="s">
        <v>1111</v>
      </c>
      <c r="C237" s="92"/>
      <c r="D237" s="92"/>
      <c r="E237" s="92"/>
      <c r="F237" s="92"/>
      <c r="G237" s="92"/>
      <c r="H237" s="92"/>
      <c r="I237" s="92"/>
      <c r="J237" s="92"/>
    </row>
    <row r="238" spans="1:10" s="83" customFormat="1" ht="25.5" customHeight="1">
      <c r="A238" s="83" t="s">
        <v>1112</v>
      </c>
      <c r="C238" s="92"/>
      <c r="D238" s="92"/>
      <c r="E238" s="92"/>
      <c r="F238" s="92"/>
      <c r="G238" s="92"/>
      <c r="H238" s="92"/>
      <c r="I238" s="92"/>
      <c r="J238" s="92"/>
    </row>
    <row r="239" spans="1:10" s="83" customFormat="1" ht="25.5" customHeight="1">
      <c r="A239" s="83" t="s">
        <v>1113</v>
      </c>
      <c r="C239" s="92"/>
      <c r="D239" s="92"/>
      <c r="E239" s="92"/>
      <c r="F239" s="92"/>
      <c r="G239" s="92"/>
      <c r="H239" s="92"/>
      <c r="I239" s="92"/>
      <c r="J239" s="92"/>
    </row>
    <row r="240" spans="1:10" s="83" customFormat="1" ht="25.5" customHeight="1">
      <c r="A240" s="83" t="s">
        <v>1114</v>
      </c>
      <c r="C240" s="92"/>
      <c r="D240" s="92"/>
      <c r="E240" s="92"/>
      <c r="F240" s="92"/>
      <c r="G240" s="92"/>
      <c r="H240" s="92"/>
      <c r="I240" s="92"/>
      <c r="J240" s="92"/>
    </row>
    <row r="241" spans="1:10" s="83" customFormat="1" ht="25.5" customHeight="1">
      <c r="A241" s="83" t="s">
        <v>1115</v>
      </c>
      <c r="B241" s="83" t="s">
        <v>1117</v>
      </c>
      <c r="C241" s="92"/>
      <c r="D241" s="92"/>
      <c r="E241" s="92"/>
      <c r="F241" s="92"/>
      <c r="G241" s="92"/>
      <c r="H241" s="92"/>
      <c r="I241" s="92"/>
      <c r="J241" s="92"/>
    </row>
    <row r="242" spans="1:10" s="83" customFormat="1" ht="25.5" customHeight="1">
      <c r="A242" s="83" t="s">
        <v>1116</v>
      </c>
      <c r="C242" s="92"/>
      <c r="D242" s="92"/>
      <c r="E242" s="92"/>
      <c r="F242" s="92"/>
      <c r="G242" s="92"/>
      <c r="H242" s="92"/>
      <c r="I242" s="92"/>
      <c r="J242" s="92"/>
    </row>
    <row r="243" spans="1:10" s="83" customFormat="1" ht="25.5" customHeight="1">
      <c r="A243" s="83" t="s">
        <v>1118</v>
      </c>
      <c r="C243" s="92"/>
      <c r="D243" s="92"/>
      <c r="E243" s="92"/>
      <c r="F243" s="92"/>
      <c r="G243" s="92"/>
      <c r="H243" s="92"/>
      <c r="I243" s="92"/>
      <c r="J243" s="92"/>
    </row>
    <row r="244" spans="1:10" s="83" customFormat="1" ht="25.5" customHeight="1">
      <c r="A244" s="83" t="s">
        <v>1119</v>
      </c>
      <c r="C244" s="92"/>
      <c r="D244" s="92"/>
      <c r="E244" s="92"/>
      <c r="F244" s="92"/>
      <c r="G244" s="92"/>
      <c r="H244" s="92"/>
      <c r="I244" s="92"/>
      <c r="J244" s="92"/>
    </row>
    <row r="245" spans="1:10" s="83" customFormat="1" ht="25.5" customHeight="1">
      <c r="A245" s="83" t="s">
        <v>1120</v>
      </c>
      <c r="C245" s="92"/>
      <c r="D245" s="92"/>
      <c r="E245" s="92"/>
      <c r="F245" s="92"/>
      <c r="G245" s="92"/>
      <c r="H245" s="92"/>
      <c r="I245" s="92"/>
      <c r="J245" s="92"/>
    </row>
    <row r="246" spans="1:10" s="83" customFormat="1" ht="25.5" customHeight="1">
      <c r="A246" s="83" t="s">
        <v>1115</v>
      </c>
      <c r="B246" s="83" t="s">
        <v>1121</v>
      </c>
      <c r="C246" s="92"/>
      <c r="D246" s="92"/>
      <c r="E246" s="92"/>
      <c r="F246" s="92"/>
      <c r="G246" s="92"/>
      <c r="H246" s="92"/>
      <c r="I246" s="92"/>
      <c r="J246" s="92"/>
    </row>
    <row r="247" spans="1:10" s="83" customFormat="1" ht="25.5" customHeight="1">
      <c r="A247" s="83" t="s">
        <v>1122</v>
      </c>
      <c r="C247" s="92"/>
      <c r="D247" s="92"/>
      <c r="E247" s="92"/>
      <c r="F247" s="92"/>
      <c r="G247" s="92"/>
      <c r="H247" s="92"/>
      <c r="I247" s="92"/>
      <c r="J247" s="92"/>
    </row>
    <row r="248" spans="1:9" s="79" customFormat="1" ht="25.5" customHeight="1">
      <c r="A248" s="35" t="s">
        <v>1123</v>
      </c>
      <c r="B248" s="35"/>
      <c r="C248" s="35"/>
      <c r="D248" s="35"/>
      <c r="E248" s="87"/>
      <c r="F248" s="88"/>
      <c r="G248" s="88"/>
      <c r="I248" s="88"/>
    </row>
    <row r="249" spans="1:9" s="79" customFormat="1" ht="25.5" customHeight="1">
      <c r="A249" s="35" t="s">
        <v>1124</v>
      </c>
      <c r="B249" s="35"/>
      <c r="C249" s="35"/>
      <c r="D249" s="35"/>
      <c r="E249" s="87"/>
      <c r="F249" s="88"/>
      <c r="G249" s="88"/>
      <c r="H249" s="88"/>
      <c r="I249" s="88"/>
    </row>
    <row r="250" spans="1:9" s="79" customFormat="1" ht="25.5" customHeight="1">
      <c r="A250" s="35" t="s">
        <v>1115</v>
      </c>
      <c r="B250" s="35" t="s">
        <v>1125</v>
      </c>
      <c r="C250" s="35"/>
      <c r="D250" s="35"/>
      <c r="E250" s="87"/>
      <c r="F250" s="88"/>
      <c r="G250" s="88"/>
      <c r="H250" s="88"/>
      <c r="I250" s="88"/>
    </row>
    <row r="251" spans="1:9" s="79" customFormat="1" ht="25.5" customHeight="1">
      <c r="A251" s="35" t="s">
        <v>1126</v>
      </c>
      <c r="B251" s="35"/>
      <c r="C251" s="35"/>
      <c r="D251" s="35"/>
      <c r="E251" s="87"/>
      <c r="F251" s="88"/>
      <c r="G251" s="88"/>
      <c r="H251" s="88"/>
      <c r="I251" s="88"/>
    </row>
    <row r="252" spans="1:11" s="128" customFormat="1" ht="25.5" customHeight="1">
      <c r="A252" s="127" t="s">
        <v>1127</v>
      </c>
      <c r="F252" s="134"/>
      <c r="G252" s="134"/>
      <c r="K252" s="137"/>
    </row>
    <row r="253" spans="2:11" s="128" customFormat="1" ht="25.5" customHeight="1">
      <c r="B253" s="128" t="s">
        <v>534</v>
      </c>
      <c r="F253" s="134"/>
      <c r="G253" s="134"/>
      <c r="K253" s="137"/>
    </row>
    <row r="254" spans="1:11" s="308" customFormat="1" ht="25.5" customHeight="1">
      <c r="A254" s="308" t="s">
        <v>1128</v>
      </c>
      <c r="F254" s="309"/>
      <c r="G254" s="309"/>
      <c r="K254" s="310"/>
    </row>
    <row r="255" spans="2:11" s="128" customFormat="1" ht="25.5" customHeight="1">
      <c r="B255" s="128" t="s">
        <v>437</v>
      </c>
      <c r="F255" s="134"/>
      <c r="G255" s="134"/>
      <c r="K255" s="137"/>
    </row>
    <row r="256" spans="1:11" s="128" customFormat="1" ht="25.5" customHeight="1">
      <c r="A256" s="128" t="s">
        <v>1129</v>
      </c>
      <c r="F256" s="134"/>
      <c r="G256" s="134"/>
      <c r="K256" s="137"/>
    </row>
    <row r="257" spans="1:10" s="348" customFormat="1" ht="25.5" customHeight="1">
      <c r="A257" s="374" t="s">
        <v>1130</v>
      </c>
      <c r="B257" s="47"/>
      <c r="C257" s="92"/>
      <c r="D257" s="92"/>
      <c r="E257" s="92"/>
      <c r="F257" s="92"/>
      <c r="G257" s="92"/>
      <c r="H257" s="92"/>
      <c r="I257" s="92"/>
      <c r="J257" s="347"/>
    </row>
    <row r="258" spans="1:10" s="348" customFormat="1" ht="25.5" customHeight="1">
      <c r="A258" s="36"/>
      <c r="B258" s="36" t="s">
        <v>4</v>
      </c>
      <c r="C258" s="92"/>
      <c r="D258" s="92"/>
      <c r="E258" s="92"/>
      <c r="F258" s="92"/>
      <c r="G258" s="92"/>
      <c r="H258" s="92"/>
      <c r="I258" s="92"/>
      <c r="J258" s="347"/>
    </row>
    <row r="259" spans="1:10" s="348" customFormat="1" ht="25.5" customHeight="1">
      <c r="A259" s="374" t="s">
        <v>1131</v>
      </c>
      <c r="B259" s="47"/>
      <c r="C259" s="92"/>
      <c r="D259" s="92"/>
      <c r="E259" s="92"/>
      <c r="F259" s="92"/>
      <c r="G259" s="92"/>
      <c r="H259" s="92"/>
      <c r="I259" s="92"/>
      <c r="J259" s="347"/>
    </row>
    <row r="260" spans="1:10" s="348" customFormat="1" ht="25.5" customHeight="1">
      <c r="A260" s="83"/>
      <c r="B260" s="375" t="s">
        <v>5</v>
      </c>
      <c r="C260" s="92"/>
      <c r="D260" s="92"/>
      <c r="E260" s="92"/>
      <c r="F260" s="92"/>
      <c r="G260" s="92"/>
      <c r="H260" s="92"/>
      <c r="I260" s="92"/>
      <c r="J260" s="347"/>
    </row>
    <row r="261" spans="1:10" s="348" customFormat="1" ht="25.5" customHeight="1">
      <c r="A261" s="375" t="s">
        <v>1132</v>
      </c>
      <c r="B261" s="47"/>
      <c r="C261" s="92"/>
      <c r="D261" s="92"/>
      <c r="E261" s="92"/>
      <c r="F261" s="92"/>
      <c r="G261" s="92"/>
      <c r="H261" s="92"/>
      <c r="I261" s="92"/>
      <c r="J261" s="347"/>
    </row>
    <row r="262" spans="1:10" s="348" customFormat="1" ht="25.5" customHeight="1">
      <c r="A262" s="375" t="s">
        <v>1133</v>
      </c>
      <c r="B262" s="47"/>
      <c r="C262" s="92"/>
      <c r="D262" s="92"/>
      <c r="E262" s="92"/>
      <c r="F262" s="92"/>
      <c r="G262" s="92"/>
      <c r="H262" s="92"/>
      <c r="I262" s="92"/>
      <c r="J262" s="347"/>
    </row>
    <row r="263" spans="1:10" s="348" customFormat="1" ht="25.5" customHeight="1">
      <c r="A263" s="375"/>
      <c r="B263" s="47"/>
      <c r="C263" s="92"/>
      <c r="D263" s="92"/>
      <c r="E263" s="92"/>
      <c r="F263" s="92"/>
      <c r="G263" s="92"/>
      <c r="H263" s="92"/>
      <c r="I263" s="92"/>
      <c r="J263" s="347"/>
    </row>
    <row r="264" spans="1:10" s="348" customFormat="1" ht="25.5" customHeight="1">
      <c r="A264" s="375"/>
      <c r="B264" s="47"/>
      <c r="C264" s="92"/>
      <c r="D264" s="92"/>
      <c r="E264" s="92"/>
      <c r="F264" s="92"/>
      <c r="G264" s="92"/>
      <c r="H264" s="92"/>
      <c r="I264" s="92"/>
      <c r="J264" s="347"/>
    </row>
    <row r="265" spans="1:13" s="437" customFormat="1" ht="25.5" customHeight="1">
      <c r="A265" s="138" t="s">
        <v>891</v>
      </c>
      <c r="B265" s="138"/>
      <c r="C265" s="138"/>
      <c r="D265" s="138"/>
      <c r="E265" s="138"/>
      <c r="F265" s="138"/>
      <c r="G265" s="138"/>
      <c r="H265" s="138"/>
      <c r="I265" s="138"/>
      <c r="J265" s="138"/>
      <c r="K265" s="138"/>
      <c r="L265" s="138"/>
      <c r="M265" s="138"/>
    </row>
    <row r="268" spans="1:14" s="436" customFormat="1" ht="25.5" customHeight="1">
      <c r="A268" s="145" t="s">
        <v>1004</v>
      </c>
      <c r="B268" s="438"/>
      <c r="C268" s="438"/>
      <c r="D268" s="438"/>
      <c r="E268" s="439"/>
      <c r="F268" s="439"/>
      <c r="G268" s="439"/>
      <c r="H268" s="439"/>
      <c r="I268" s="439"/>
      <c r="J268" s="439"/>
      <c r="K268" s="439"/>
      <c r="L268" s="439"/>
      <c r="M268" s="439"/>
      <c r="N268" s="440"/>
    </row>
    <row r="269" spans="1:14" s="436" customFormat="1" ht="25.5" customHeight="1">
      <c r="A269" s="145"/>
      <c r="B269" s="438"/>
      <c r="C269" s="438"/>
      <c r="D269" s="438"/>
      <c r="E269" s="439"/>
      <c r="F269" s="439"/>
      <c r="G269" s="439"/>
      <c r="H269" s="439"/>
      <c r="I269" s="439"/>
      <c r="J269" s="439"/>
      <c r="K269" s="439"/>
      <c r="L269" s="439"/>
      <c r="M269" s="439"/>
      <c r="N269" s="440"/>
    </row>
    <row r="270" spans="1:15" s="437" customFormat="1" ht="25.5" customHeight="1">
      <c r="A270" s="132" t="s">
        <v>925</v>
      </c>
      <c r="F270" s="131"/>
      <c r="H270" s="441"/>
      <c r="L270" s="441"/>
      <c r="N270" s="436"/>
      <c r="O270" s="436"/>
    </row>
    <row r="271" spans="1:10" s="348" customFormat="1" ht="25.5" customHeight="1">
      <c r="A271" s="374" t="s">
        <v>1137</v>
      </c>
      <c r="B271" s="47"/>
      <c r="C271" s="92"/>
      <c r="D271" s="92"/>
      <c r="E271" s="92"/>
      <c r="F271" s="92"/>
      <c r="G271" s="92"/>
      <c r="H271" s="92"/>
      <c r="I271" s="92"/>
      <c r="J271" s="347"/>
    </row>
    <row r="272" spans="1:10" s="348" customFormat="1" ht="25.5" customHeight="1">
      <c r="A272" s="83"/>
      <c r="B272" s="375" t="s">
        <v>6</v>
      </c>
      <c r="C272" s="92"/>
      <c r="D272" s="92"/>
      <c r="E272" s="92"/>
      <c r="F272" s="92"/>
      <c r="G272" s="92"/>
      <c r="H272" s="92"/>
      <c r="I272" s="92"/>
      <c r="J272" s="347"/>
    </row>
    <row r="273" spans="1:10" s="348" customFormat="1" ht="25.5" customHeight="1">
      <c r="A273" s="375" t="s">
        <v>1134</v>
      </c>
      <c r="B273" s="47"/>
      <c r="C273" s="92"/>
      <c r="D273" s="92"/>
      <c r="E273" s="92"/>
      <c r="F273" s="92"/>
      <c r="G273" s="92"/>
      <c r="H273" s="92"/>
      <c r="I273" s="92"/>
      <c r="J273" s="347"/>
    </row>
    <row r="274" spans="1:10" s="348" customFormat="1" ht="25.5" customHeight="1">
      <c r="A274" s="375" t="s">
        <v>1135</v>
      </c>
      <c r="B274" s="47"/>
      <c r="C274" s="92"/>
      <c r="D274" s="92"/>
      <c r="E274" s="92"/>
      <c r="F274" s="92"/>
      <c r="G274" s="92"/>
      <c r="H274" s="92"/>
      <c r="I274" s="92"/>
      <c r="J274" s="347"/>
    </row>
    <row r="275" spans="1:10" s="348" customFormat="1" ht="25.5" customHeight="1">
      <c r="A275" s="375" t="s">
        <v>1136</v>
      </c>
      <c r="B275" s="47"/>
      <c r="C275" s="92"/>
      <c r="D275" s="92"/>
      <c r="E275" s="92"/>
      <c r="F275" s="92"/>
      <c r="G275" s="92"/>
      <c r="H275" s="92"/>
      <c r="I275" s="92"/>
      <c r="J275" s="347"/>
    </row>
    <row r="276" spans="1:10" s="348" customFormat="1" ht="25.5" customHeight="1">
      <c r="A276" s="83"/>
      <c r="B276" s="375" t="s">
        <v>7</v>
      </c>
      <c r="C276" s="92"/>
      <c r="D276" s="92"/>
      <c r="E276" s="92"/>
      <c r="F276" s="92"/>
      <c r="G276" s="92"/>
      <c r="H276" s="92"/>
      <c r="I276" s="92"/>
      <c r="J276" s="347"/>
    </row>
    <row r="277" spans="1:10" s="348" customFormat="1" ht="25.5" customHeight="1">
      <c r="A277" s="375" t="s">
        <v>1138</v>
      </c>
      <c r="B277" s="47"/>
      <c r="C277" s="92"/>
      <c r="D277" s="92"/>
      <c r="E277" s="92"/>
      <c r="F277" s="92"/>
      <c r="G277" s="92"/>
      <c r="H277" s="92"/>
      <c r="I277" s="92"/>
      <c r="J277" s="347"/>
    </row>
    <row r="278" spans="1:10" s="348" customFormat="1" ht="25.5" customHeight="1">
      <c r="A278" s="375"/>
      <c r="B278" s="376" t="s">
        <v>8</v>
      </c>
      <c r="C278" s="92"/>
      <c r="D278" s="92"/>
      <c r="E278" s="92"/>
      <c r="F278" s="92"/>
      <c r="G278" s="92"/>
      <c r="H278" s="92"/>
      <c r="I278" s="92"/>
      <c r="J278" s="347"/>
    </row>
    <row r="279" spans="1:10" s="348" customFormat="1" ht="25.5" customHeight="1">
      <c r="A279" s="375"/>
      <c r="B279" s="47" t="s">
        <v>0</v>
      </c>
      <c r="C279" s="92"/>
      <c r="D279" s="92"/>
      <c r="E279" s="92"/>
      <c r="F279" s="92"/>
      <c r="G279" s="92"/>
      <c r="H279" s="92"/>
      <c r="I279" s="92"/>
      <c r="J279" s="347"/>
    </row>
    <row r="280" spans="1:10" s="348" customFormat="1" ht="25.5" customHeight="1">
      <c r="A280" s="375"/>
      <c r="B280" s="376" t="s">
        <v>1</v>
      </c>
      <c r="C280" s="92"/>
      <c r="D280" s="92"/>
      <c r="E280" s="92"/>
      <c r="F280" s="92"/>
      <c r="G280" s="92"/>
      <c r="H280" s="92"/>
      <c r="I280" s="92"/>
      <c r="J280" s="347"/>
    </row>
    <row r="281" spans="1:10" s="348" customFormat="1" ht="25.5" customHeight="1">
      <c r="A281" s="375"/>
      <c r="B281" s="47" t="s">
        <v>2</v>
      </c>
      <c r="C281" s="92"/>
      <c r="D281" s="92"/>
      <c r="E281" s="92"/>
      <c r="F281" s="92"/>
      <c r="G281" s="92"/>
      <c r="H281" s="92"/>
      <c r="I281" s="92"/>
      <c r="J281" s="347"/>
    </row>
    <row r="282" spans="1:10" s="350" customFormat="1" ht="25.5" customHeight="1">
      <c r="A282" s="375"/>
      <c r="B282" s="376" t="s">
        <v>3</v>
      </c>
      <c r="C282" s="377"/>
      <c r="D282" s="377"/>
      <c r="E282" s="377"/>
      <c r="F282" s="377"/>
      <c r="G282" s="377"/>
      <c r="H282" s="377"/>
      <c r="I282" s="377"/>
      <c r="J282" s="349"/>
    </row>
    <row r="283" spans="1:10" s="350" customFormat="1" ht="25.5" customHeight="1">
      <c r="A283" s="37"/>
      <c r="B283" s="375" t="s">
        <v>9</v>
      </c>
      <c r="C283" s="377"/>
      <c r="D283" s="377"/>
      <c r="E283" s="377"/>
      <c r="F283" s="377"/>
      <c r="G283" s="377"/>
      <c r="H283" s="377"/>
      <c r="I283" s="377"/>
      <c r="J283" s="349"/>
    </row>
    <row r="284" spans="1:10" s="350" customFormat="1" ht="25.5" customHeight="1">
      <c r="A284" s="375" t="s">
        <v>1139</v>
      </c>
      <c r="B284" s="47"/>
      <c r="C284" s="377"/>
      <c r="D284" s="377"/>
      <c r="E284" s="377"/>
      <c r="F284" s="377"/>
      <c r="G284" s="377"/>
      <c r="H284" s="377"/>
      <c r="I284" s="377"/>
      <c r="J284" s="349"/>
    </row>
    <row r="285" spans="1:16" s="352" customFormat="1" ht="25.5" customHeight="1">
      <c r="A285" s="375" t="s">
        <v>1140</v>
      </c>
      <c r="B285" s="47"/>
      <c r="C285" s="51"/>
      <c r="D285" s="51"/>
      <c r="E285" s="378"/>
      <c r="F285" s="379"/>
      <c r="G285" s="379"/>
      <c r="H285" s="379"/>
      <c r="I285" s="379"/>
      <c r="P285" s="350"/>
    </row>
    <row r="286" spans="1:16" s="352" customFormat="1" ht="25.5" customHeight="1">
      <c r="A286" s="380"/>
      <c r="B286" s="381" t="s">
        <v>10</v>
      </c>
      <c r="C286" s="51"/>
      <c r="D286" s="51"/>
      <c r="E286" s="378"/>
      <c r="F286" s="379"/>
      <c r="G286" s="379"/>
      <c r="H286" s="379"/>
      <c r="I286" s="379"/>
      <c r="P286" s="350"/>
    </row>
    <row r="287" spans="1:16" s="352" customFormat="1" ht="25.5" customHeight="1">
      <c r="A287" s="374" t="s">
        <v>1141</v>
      </c>
      <c r="B287" s="47"/>
      <c r="C287" s="51"/>
      <c r="D287" s="51"/>
      <c r="E287" s="378"/>
      <c r="F287" s="379"/>
      <c r="G287" s="379"/>
      <c r="H287" s="379"/>
      <c r="I287" s="379"/>
      <c r="P287" s="350"/>
    </row>
    <row r="288" spans="1:16" s="352" customFormat="1" ht="25.5" customHeight="1">
      <c r="A288" s="374"/>
      <c r="B288" s="47" t="s">
        <v>12</v>
      </c>
      <c r="C288" s="51"/>
      <c r="D288" s="51"/>
      <c r="E288" s="378"/>
      <c r="F288" s="379"/>
      <c r="G288" s="379"/>
      <c r="H288" s="379"/>
      <c r="I288" s="379"/>
      <c r="P288" s="350"/>
    </row>
    <row r="289" spans="1:9" s="307" customFormat="1" ht="25.5" customHeight="1">
      <c r="A289" s="55" t="s">
        <v>1142</v>
      </c>
      <c r="B289" s="55"/>
      <c r="C289" s="55"/>
      <c r="D289" s="55"/>
      <c r="E289" s="55"/>
      <c r="F289" s="78"/>
      <c r="G289" s="55"/>
      <c r="H289" s="55"/>
      <c r="I289" s="55"/>
    </row>
    <row r="290" spans="1:9" s="307" customFormat="1" ht="25.5" customHeight="1">
      <c r="A290" s="55" t="s">
        <v>1144</v>
      </c>
      <c r="B290" s="55"/>
      <c r="C290" s="55"/>
      <c r="D290" s="55"/>
      <c r="E290" s="55"/>
      <c r="F290" s="78"/>
      <c r="G290" s="55"/>
      <c r="H290" s="55"/>
      <c r="I290" s="55"/>
    </row>
    <row r="291" spans="1:16" s="352" customFormat="1" ht="25.5" customHeight="1">
      <c r="A291" s="374" t="s">
        <v>1143</v>
      </c>
      <c r="B291" s="47"/>
      <c r="C291" s="51"/>
      <c r="D291" s="51"/>
      <c r="E291" s="378"/>
      <c r="F291" s="379"/>
      <c r="G291" s="379"/>
      <c r="H291" s="379"/>
      <c r="I291" s="379"/>
      <c r="P291" s="350"/>
    </row>
    <row r="292" spans="1:16" s="79" customFormat="1" ht="25.5" customHeight="1">
      <c r="A292" s="74"/>
      <c r="B292" s="382" t="s">
        <v>13</v>
      </c>
      <c r="C292" s="53"/>
      <c r="D292" s="53"/>
      <c r="E292" s="53"/>
      <c r="F292" s="53"/>
      <c r="G292" s="53"/>
      <c r="H292" s="53"/>
      <c r="I292" s="53"/>
      <c r="J292" s="47"/>
      <c r="P292" s="83"/>
    </row>
    <row r="293" spans="1:16" s="352" customFormat="1" ht="25.5" customHeight="1">
      <c r="A293" s="374"/>
      <c r="B293" s="51" t="s">
        <v>14</v>
      </c>
      <c r="C293" s="51"/>
      <c r="D293" s="51"/>
      <c r="E293" s="378"/>
      <c r="F293" s="379"/>
      <c r="G293" s="379"/>
      <c r="H293" s="379"/>
      <c r="I293" s="379"/>
      <c r="P293" s="350"/>
    </row>
    <row r="294" spans="1:16" s="352" customFormat="1" ht="25.5" customHeight="1">
      <c r="A294" s="374" t="s">
        <v>1145</v>
      </c>
      <c r="B294" s="51"/>
      <c r="C294" s="51"/>
      <c r="D294" s="51"/>
      <c r="E294" s="378"/>
      <c r="F294" s="379"/>
      <c r="G294" s="379"/>
      <c r="H294" s="379"/>
      <c r="I294" s="379"/>
      <c r="P294" s="350"/>
    </row>
    <row r="295" spans="1:16" s="352" customFormat="1" ht="25.5" customHeight="1">
      <c r="A295" s="374" t="s">
        <v>1146</v>
      </c>
      <c r="B295" s="51"/>
      <c r="C295" s="51"/>
      <c r="D295" s="51"/>
      <c r="E295" s="378"/>
      <c r="F295" s="379"/>
      <c r="G295" s="379"/>
      <c r="H295" s="379"/>
      <c r="I295" s="379"/>
      <c r="P295" s="350"/>
    </row>
    <row r="296" spans="1:9" s="307" customFormat="1" ht="25.5" customHeight="1">
      <c r="A296" s="55"/>
      <c r="B296" s="54" t="s">
        <v>15</v>
      </c>
      <c r="C296" s="55"/>
      <c r="D296" s="55"/>
      <c r="E296" s="55"/>
      <c r="F296" s="78"/>
      <c r="G296" s="55"/>
      <c r="H296" s="55"/>
      <c r="I296" s="55"/>
    </row>
    <row r="297" spans="1:9" s="307" customFormat="1" ht="25.5" customHeight="1">
      <c r="A297" s="55"/>
      <c r="B297" s="55" t="s">
        <v>17</v>
      </c>
      <c r="C297" s="55"/>
      <c r="D297" s="55"/>
      <c r="E297" s="55"/>
      <c r="F297" s="78"/>
      <c r="G297" s="55"/>
      <c r="H297" s="55"/>
      <c r="I297" s="55"/>
    </row>
    <row r="298" spans="1:9" s="307" customFormat="1" ht="25.5" customHeight="1">
      <c r="A298" s="55" t="s">
        <v>1147</v>
      </c>
      <c r="B298" s="55"/>
      <c r="C298" s="55"/>
      <c r="D298" s="55"/>
      <c r="E298" s="55"/>
      <c r="F298" s="78"/>
      <c r="G298" s="55"/>
      <c r="H298" s="55"/>
      <c r="I298" s="55"/>
    </row>
    <row r="299" spans="1:9" s="307" customFormat="1" ht="25.5" customHeight="1">
      <c r="A299" s="55" t="s">
        <v>1148</v>
      </c>
      <c r="B299" s="55"/>
      <c r="C299" s="55"/>
      <c r="D299" s="55"/>
      <c r="E299" s="55"/>
      <c r="F299" s="78"/>
      <c r="G299" s="55"/>
      <c r="H299" s="55"/>
      <c r="I299" s="55"/>
    </row>
    <row r="300" spans="1:9" s="307" customFormat="1" ht="25.5" customHeight="1">
      <c r="A300" s="55"/>
      <c r="B300" s="55"/>
      <c r="C300" s="55"/>
      <c r="D300" s="55"/>
      <c r="E300" s="55"/>
      <c r="F300" s="78"/>
      <c r="G300" s="55"/>
      <c r="H300" s="55"/>
      <c r="I300" s="55"/>
    </row>
    <row r="301" spans="1:9" s="307" customFormat="1" ht="25.5" customHeight="1">
      <c r="A301" s="55"/>
      <c r="B301" s="55"/>
      <c r="C301" s="55"/>
      <c r="D301" s="55"/>
      <c r="E301" s="55"/>
      <c r="F301" s="78"/>
      <c r="G301" s="55"/>
      <c r="H301" s="55"/>
      <c r="I301" s="55"/>
    </row>
    <row r="302" spans="1:16" s="352" customFormat="1" ht="25.5" customHeight="1">
      <c r="A302" s="374"/>
      <c r="B302" s="51"/>
      <c r="C302" s="51"/>
      <c r="D302" s="51"/>
      <c r="E302" s="378"/>
      <c r="F302" s="379"/>
      <c r="G302" s="379"/>
      <c r="H302" s="379"/>
      <c r="I302" s="379"/>
      <c r="P302" s="350"/>
    </row>
    <row r="303" spans="1:13" s="437" customFormat="1" ht="25.5" customHeight="1">
      <c r="A303" s="138" t="s">
        <v>891</v>
      </c>
      <c r="B303" s="138"/>
      <c r="C303" s="138"/>
      <c r="D303" s="138"/>
      <c r="E303" s="138"/>
      <c r="F303" s="138"/>
      <c r="G303" s="138"/>
      <c r="H303" s="138"/>
      <c r="I303" s="138"/>
      <c r="J303" s="138"/>
      <c r="K303" s="138"/>
      <c r="L303" s="138"/>
      <c r="M303" s="138"/>
    </row>
    <row r="304" spans="1:13" s="131" customFormat="1" ht="25.5" customHeight="1">
      <c r="A304" s="138"/>
      <c r="B304" s="138"/>
      <c r="C304" s="138"/>
      <c r="D304" s="138"/>
      <c r="E304" s="138"/>
      <c r="F304" s="138"/>
      <c r="G304" s="138"/>
      <c r="H304" s="138"/>
      <c r="I304" s="138"/>
      <c r="J304" s="138"/>
      <c r="K304" s="138"/>
      <c r="L304" s="139"/>
      <c r="M304" s="145"/>
    </row>
    <row r="305" spans="1:13" s="131" customFormat="1" ht="25.5" customHeight="1">
      <c r="A305" s="138"/>
      <c r="B305" s="138"/>
      <c r="C305" s="138"/>
      <c r="D305" s="138"/>
      <c r="E305" s="138"/>
      <c r="F305" s="138"/>
      <c r="G305" s="138"/>
      <c r="H305" s="138"/>
      <c r="I305" s="138"/>
      <c r="J305" s="138"/>
      <c r="K305" s="138"/>
      <c r="L305" s="139"/>
      <c r="M305" s="145"/>
    </row>
    <row r="306" spans="1:14" s="436" customFormat="1" ht="25.5" customHeight="1">
      <c r="A306" s="145" t="s">
        <v>1005</v>
      </c>
      <c r="B306" s="438"/>
      <c r="C306" s="438"/>
      <c r="D306" s="438"/>
      <c r="E306" s="439"/>
      <c r="F306" s="439"/>
      <c r="G306" s="439"/>
      <c r="H306" s="439"/>
      <c r="I306" s="439"/>
      <c r="J306" s="439"/>
      <c r="K306" s="439"/>
      <c r="L306" s="439"/>
      <c r="M306" s="439"/>
      <c r="N306" s="440"/>
    </row>
    <row r="307" spans="1:18" s="36" customFormat="1" ht="25.5" customHeight="1">
      <c r="A307" s="466"/>
      <c r="B307" s="445"/>
      <c r="C307" s="445"/>
      <c r="D307" s="445"/>
      <c r="E307" s="445"/>
      <c r="F307" s="445"/>
      <c r="G307" s="445"/>
      <c r="H307" s="445"/>
      <c r="I307" s="445"/>
      <c r="J307" s="55"/>
      <c r="L307" s="445"/>
      <c r="P307" s="468"/>
      <c r="Q307" s="468"/>
      <c r="R307" s="468"/>
    </row>
    <row r="308" spans="1:15" s="437" customFormat="1" ht="25.5" customHeight="1">
      <c r="A308" s="132" t="s">
        <v>925</v>
      </c>
      <c r="F308" s="131"/>
      <c r="H308" s="441"/>
      <c r="L308" s="441"/>
      <c r="N308" s="436"/>
      <c r="O308" s="436"/>
    </row>
    <row r="309" spans="1:16" s="352" customFormat="1" ht="25.5" customHeight="1">
      <c r="A309" s="374" t="s">
        <v>1151</v>
      </c>
      <c r="B309" s="47"/>
      <c r="C309" s="51"/>
      <c r="D309" s="51"/>
      <c r="E309" s="378"/>
      <c r="F309" s="379"/>
      <c r="G309" s="379"/>
      <c r="H309" s="379"/>
      <c r="I309" s="379"/>
      <c r="P309" s="350"/>
    </row>
    <row r="310" spans="1:16" s="352" customFormat="1" ht="25.5" customHeight="1">
      <c r="A310" s="374"/>
      <c r="B310" s="54" t="s">
        <v>16</v>
      </c>
      <c r="C310" s="51"/>
      <c r="D310" s="55"/>
      <c r="E310" s="378"/>
      <c r="F310" s="379"/>
      <c r="G310" s="379"/>
      <c r="H310" s="379"/>
      <c r="I310" s="379"/>
      <c r="P310" s="350"/>
    </row>
    <row r="311" spans="1:16" s="352" customFormat="1" ht="25.5" customHeight="1">
      <c r="A311" s="374"/>
      <c r="B311" s="51" t="s">
        <v>18</v>
      </c>
      <c r="C311" s="51"/>
      <c r="D311" s="51"/>
      <c r="E311" s="378"/>
      <c r="F311" s="379"/>
      <c r="G311" s="379"/>
      <c r="H311" s="379"/>
      <c r="I311" s="379"/>
      <c r="P311" s="350"/>
    </row>
    <row r="312" spans="1:16" s="352" customFormat="1" ht="25.5" customHeight="1">
      <c r="A312" s="374" t="s">
        <v>1149</v>
      </c>
      <c r="B312" s="51"/>
      <c r="C312" s="51"/>
      <c r="D312" s="51"/>
      <c r="E312" s="378"/>
      <c r="F312" s="379"/>
      <c r="G312" s="379"/>
      <c r="H312" s="379"/>
      <c r="I312" s="379"/>
      <c r="P312" s="350"/>
    </row>
    <row r="313" spans="1:16" s="352" customFormat="1" ht="25.5" customHeight="1">
      <c r="A313" s="374" t="s">
        <v>1150</v>
      </c>
      <c r="B313" s="51"/>
      <c r="C313" s="51"/>
      <c r="D313" s="51"/>
      <c r="E313" s="378"/>
      <c r="F313" s="379"/>
      <c r="G313" s="379"/>
      <c r="H313" s="379"/>
      <c r="I313" s="379"/>
      <c r="P313" s="350"/>
    </row>
    <row r="314" spans="1:16" s="352" customFormat="1" ht="25.5" customHeight="1">
      <c r="A314" s="374"/>
      <c r="B314" s="51" t="s">
        <v>1154</v>
      </c>
      <c r="C314" s="51"/>
      <c r="D314" s="51"/>
      <c r="E314" s="378"/>
      <c r="F314" s="379"/>
      <c r="G314" s="379"/>
      <c r="H314" s="379"/>
      <c r="I314" s="379"/>
      <c r="P314" s="350"/>
    </row>
    <row r="315" spans="1:16" s="352" customFormat="1" ht="25.5" customHeight="1">
      <c r="A315" s="374" t="s">
        <v>1152</v>
      </c>
      <c r="B315" s="51"/>
      <c r="C315" s="51"/>
      <c r="D315" s="51"/>
      <c r="E315" s="378"/>
      <c r="F315" s="379"/>
      <c r="G315" s="379"/>
      <c r="H315" s="379"/>
      <c r="I315" s="379"/>
      <c r="P315" s="350"/>
    </row>
    <row r="316" spans="1:16" s="352" customFormat="1" ht="25.5" customHeight="1">
      <c r="A316" s="374" t="s">
        <v>1153</v>
      </c>
      <c r="B316" s="51"/>
      <c r="C316" s="51"/>
      <c r="D316" s="51"/>
      <c r="E316" s="378"/>
      <c r="F316" s="379"/>
      <c r="G316" s="379"/>
      <c r="H316" s="379"/>
      <c r="I316" s="379"/>
      <c r="P316" s="350"/>
    </row>
    <row r="317" spans="1:16" s="352" customFormat="1" ht="25.5" customHeight="1">
      <c r="A317" s="374"/>
      <c r="B317" s="382" t="s">
        <v>419</v>
      </c>
      <c r="C317" s="380"/>
      <c r="D317" s="51"/>
      <c r="E317" s="378"/>
      <c r="F317" s="379"/>
      <c r="G317" s="379"/>
      <c r="H317" s="379"/>
      <c r="I317" s="379"/>
      <c r="P317" s="350"/>
    </row>
    <row r="318" spans="1:16" s="352" customFormat="1" ht="25.5" customHeight="1">
      <c r="A318" s="374"/>
      <c r="B318" s="51" t="s">
        <v>19</v>
      </c>
      <c r="C318" s="380"/>
      <c r="D318" s="51"/>
      <c r="E318" s="378"/>
      <c r="F318" s="379"/>
      <c r="G318" s="379"/>
      <c r="H318" s="379"/>
      <c r="I318" s="379"/>
      <c r="P318" s="350"/>
    </row>
    <row r="319" spans="1:16" s="352" customFormat="1" ht="25.5" customHeight="1">
      <c r="A319" s="374" t="s">
        <v>1155</v>
      </c>
      <c r="B319" s="51"/>
      <c r="C319" s="51"/>
      <c r="D319" s="51"/>
      <c r="E319" s="378"/>
      <c r="F319" s="379"/>
      <c r="G319" s="379"/>
      <c r="H319" s="379"/>
      <c r="I319" s="379"/>
      <c r="P319" s="350"/>
    </row>
    <row r="320" spans="1:16" s="352" customFormat="1" ht="25.5" customHeight="1">
      <c r="A320" s="374" t="s">
        <v>1156</v>
      </c>
      <c r="B320" s="51"/>
      <c r="C320" s="51"/>
      <c r="D320" s="51"/>
      <c r="E320" s="378"/>
      <c r="F320" s="379"/>
      <c r="G320" s="379"/>
      <c r="H320" s="379"/>
      <c r="I320" s="379"/>
      <c r="P320" s="350"/>
    </row>
    <row r="321" spans="1:16" s="352" customFormat="1" ht="25.5" customHeight="1">
      <c r="A321" s="374"/>
      <c r="B321" s="382" t="s">
        <v>20</v>
      </c>
      <c r="C321" s="51"/>
      <c r="D321" s="51"/>
      <c r="E321" s="378"/>
      <c r="F321" s="379"/>
      <c r="G321" s="379"/>
      <c r="H321" s="379"/>
      <c r="I321" s="379"/>
      <c r="P321" s="350"/>
    </row>
    <row r="322" spans="1:16" s="352" customFormat="1" ht="25.5" customHeight="1">
      <c r="A322" s="374"/>
      <c r="B322" s="51" t="s">
        <v>21</v>
      </c>
      <c r="C322" s="51"/>
      <c r="D322" s="51"/>
      <c r="E322" s="378"/>
      <c r="F322" s="379"/>
      <c r="G322" s="379"/>
      <c r="H322" s="379"/>
      <c r="I322" s="379"/>
      <c r="P322" s="350"/>
    </row>
    <row r="323" spans="1:16" s="352" customFormat="1" ht="25.5" customHeight="1">
      <c r="A323" s="374" t="s">
        <v>1157</v>
      </c>
      <c r="B323" s="51"/>
      <c r="C323" s="51"/>
      <c r="D323" s="51"/>
      <c r="E323" s="378"/>
      <c r="F323" s="379"/>
      <c r="G323" s="379"/>
      <c r="H323" s="379"/>
      <c r="I323" s="379"/>
      <c r="P323" s="350"/>
    </row>
    <row r="324" spans="1:16" s="352" customFormat="1" ht="25.5" customHeight="1">
      <c r="A324" s="374" t="s">
        <v>1158</v>
      </c>
      <c r="B324" s="51"/>
      <c r="C324" s="51"/>
      <c r="D324" s="51"/>
      <c r="E324" s="378"/>
      <c r="F324" s="379"/>
      <c r="G324" s="379"/>
      <c r="H324" s="379"/>
      <c r="I324" s="379"/>
      <c r="P324" s="350"/>
    </row>
    <row r="325" spans="1:16" s="352" customFormat="1" ht="25.5" customHeight="1">
      <c r="A325" s="374" t="s">
        <v>1159</v>
      </c>
      <c r="B325" s="51"/>
      <c r="C325" s="51"/>
      <c r="D325" s="51"/>
      <c r="E325" s="378"/>
      <c r="F325" s="379"/>
      <c r="G325" s="379"/>
      <c r="H325" s="379"/>
      <c r="I325" s="379"/>
      <c r="P325" s="350"/>
    </row>
    <row r="326" spans="1:16" s="352" customFormat="1" ht="25.5" customHeight="1">
      <c r="A326" s="374"/>
      <c r="B326" s="382" t="s">
        <v>11</v>
      </c>
      <c r="C326" s="51"/>
      <c r="D326" s="51"/>
      <c r="E326" s="378"/>
      <c r="F326" s="379"/>
      <c r="G326" s="379"/>
      <c r="H326" s="379"/>
      <c r="I326" s="379"/>
      <c r="P326" s="350"/>
    </row>
    <row r="327" spans="1:16" s="352" customFormat="1" ht="25.5" customHeight="1">
      <c r="A327" s="374"/>
      <c r="B327" s="51" t="s">
        <v>22</v>
      </c>
      <c r="C327" s="51"/>
      <c r="D327" s="51"/>
      <c r="E327" s="378"/>
      <c r="F327" s="379"/>
      <c r="G327" s="379"/>
      <c r="H327" s="379"/>
      <c r="I327" s="379"/>
      <c r="P327" s="350"/>
    </row>
    <row r="328" spans="1:16" s="352" customFormat="1" ht="25.5" customHeight="1">
      <c r="A328" s="374" t="s">
        <v>1160</v>
      </c>
      <c r="B328" s="47"/>
      <c r="C328" s="380"/>
      <c r="D328" s="51"/>
      <c r="E328" s="378"/>
      <c r="F328" s="379"/>
      <c r="G328" s="379"/>
      <c r="H328" s="379"/>
      <c r="I328" s="379"/>
      <c r="P328" s="350"/>
    </row>
    <row r="329" spans="1:16" s="352" customFormat="1" ht="25.5" customHeight="1">
      <c r="A329" s="374" t="s">
        <v>1161</v>
      </c>
      <c r="B329" s="47"/>
      <c r="C329" s="380"/>
      <c r="D329" s="51"/>
      <c r="E329" s="378"/>
      <c r="F329" s="379"/>
      <c r="G329" s="379"/>
      <c r="H329" s="379"/>
      <c r="I329" s="379"/>
      <c r="P329" s="350"/>
    </row>
    <row r="330" spans="2:6" s="55" customFormat="1" ht="25.5" customHeight="1">
      <c r="B330" s="54" t="s">
        <v>23</v>
      </c>
      <c r="F330" s="78"/>
    </row>
    <row r="331" spans="2:6" s="55" customFormat="1" ht="25.5" customHeight="1">
      <c r="B331" s="55" t="s">
        <v>24</v>
      </c>
      <c r="F331" s="78"/>
    </row>
    <row r="332" spans="1:6" s="55" customFormat="1" ht="25.5" customHeight="1">
      <c r="A332" s="55" t="s">
        <v>1162</v>
      </c>
      <c r="F332" s="78"/>
    </row>
    <row r="333" spans="1:6" s="55" customFormat="1" ht="25.5" customHeight="1">
      <c r="A333" s="55" t="s">
        <v>1163</v>
      </c>
      <c r="F333" s="78"/>
    </row>
    <row r="334" spans="2:6" s="55" customFormat="1" ht="25.5" customHeight="1">
      <c r="B334" s="54" t="s">
        <v>25</v>
      </c>
      <c r="F334" s="78"/>
    </row>
    <row r="335" spans="2:6" s="55" customFormat="1" ht="25.5" customHeight="1">
      <c r="B335" s="55" t="s">
        <v>26</v>
      </c>
      <c r="F335" s="78"/>
    </row>
    <row r="336" spans="1:6" s="55" customFormat="1" ht="25.5" customHeight="1">
      <c r="A336" s="55" t="s">
        <v>1164</v>
      </c>
      <c r="F336" s="78"/>
    </row>
    <row r="337" spans="1:6" s="55" customFormat="1" ht="25.5" customHeight="1">
      <c r="A337" s="55" t="s">
        <v>1165</v>
      </c>
      <c r="F337" s="78"/>
    </row>
    <row r="338" s="55" customFormat="1" ht="25.5" customHeight="1">
      <c r="F338" s="78"/>
    </row>
    <row r="339" spans="1:18" s="476" customFormat="1" ht="25.5" customHeight="1">
      <c r="A339" s="479"/>
      <c r="B339" s="480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P339" s="477"/>
      <c r="Q339" s="477"/>
      <c r="R339" s="477"/>
    </row>
    <row r="340" spans="1:13" s="437" customFormat="1" ht="25.5" customHeight="1">
      <c r="A340" s="138" t="s">
        <v>891</v>
      </c>
      <c r="B340" s="138"/>
      <c r="C340" s="138"/>
      <c r="D340" s="138"/>
      <c r="E340" s="138"/>
      <c r="F340" s="138"/>
      <c r="G340" s="138"/>
      <c r="H340" s="138"/>
      <c r="I340" s="138"/>
      <c r="J340" s="138"/>
      <c r="K340" s="138"/>
      <c r="L340" s="138"/>
      <c r="M340" s="138"/>
    </row>
    <row r="341" spans="1:13" s="437" customFormat="1" ht="25.5" customHeight="1">
      <c r="A341" s="138"/>
      <c r="B341" s="138"/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</row>
    <row r="342" spans="1:13" s="131" customFormat="1" ht="25.5" customHeight="1">
      <c r="A342" s="138"/>
      <c r="B342" s="138"/>
      <c r="C342" s="138"/>
      <c r="D342" s="138"/>
      <c r="E342" s="138"/>
      <c r="F342" s="138"/>
      <c r="G342" s="138"/>
      <c r="H342" s="138"/>
      <c r="I342" s="138"/>
      <c r="J342" s="138"/>
      <c r="K342" s="138"/>
      <c r="L342" s="139"/>
      <c r="M342" s="145"/>
    </row>
    <row r="343" spans="1:13" s="131" customFormat="1" ht="25.5" customHeight="1">
      <c r="A343" s="138"/>
      <c r="B343" s="138"/>
      <c r="C343" s="138"/>
      <c r="D343" s="138"/>
      <c r="E343" s="138"/>
      <c r="F343" s="138"/>
      <c r="G343" s="138"/>
      <c r="H343" s="138"/>
      <c r="I343" s="138"/>
      <c r="J343" s="138"/>
      <c r="K343" s="138"/>
      <c r="L343" s="139"/>
      <c r="M343" s="145"/>
    </row>
    <row r="344" spans="1:14" s="436" customFormat="1" ht="25.5" customHeight="1">
      <c r="A344" s="145" t="s">
        <v>1021</v>
      </c>
      <c r="B344" s="438"/>
      <c r="C344" s="438"/>
      <c r="D344" s="438"/>
      <c r="E344" s="439"/>
      <c r="F344" s="439"/>
      <c r="G344" s="439"/>
      <c r="H344" s="439"/>
      <c r="I344" s="439"/>
      <c r="J344" s="439"/>
      <c r="K344" s="439"/>
      <c r="L344" s="439"/>
      <c r="M344" s="439"/>
      <c r="N344" s="440"/>
    </row>
    <row r="345" spans="1:13" s="131" customFormat="1" ht="25.5" customHeight="1">
      <c r="A345" s="138"/>
      <c r="B345" s="138"/>
      <c r="C345" s="138"/>
      <c r="D345" s="138"/>
      <c r="E345" s="138"/>
      <c r="F345" s="138"/>
      <c r="G345" s="138"/>
      <c r="H345" s="138"/>
      <c r="I345" s="138"/>
      <c r="J345" s="138"/>
      <c r="K345" s="138"/>
      <c r="L345" s="139"/>
      <c r="M345" s="145"/>
    </row>
    <row r="346" ht="25.5" customHeight="1">
      <c r="A346" s="132" t="s">
        <v>929</v>
      </c>
    </row>
    <row r="347" spans="1:2" ht="25.5" customHeight="1">
      <c r="A347" s="136" t="s">
        <v>930</v>
      </c>
      <c r="B347" s="473" t="s">
        <v>931</v>
      </c>
    </row>
    <row r="348" ht="25.5" customHeight="1">
      <c r="A348" s="136" t="s">
        <v>932</v>
      </c>
    </row>
    <row r="349" ht="25.5" customHeight="1">
      <c r="A349" s="136" t="s">
        <v>1168</v>
      </c>
    </row>
    <row r="350" ht="25.5" customHeight="1">
      <c r="A350" s="136" t="s">
        <v>1167</v>
      </c>
    </row>
    <row r="351" ht="25.5" customHeight="1">
      <c r="B351" s="136" t="s">
        <v>935</v>
      </c>
    </row>
    <row r="352" spans="1:12" ht="25.5" customHeight="1">
      <c r="A352" s="136" t="s">
        <v>936</v>
      </c>
      <c r="L352" s="481"/>
    </row>
    <row r="353" spans="1:12" ht="25.5" customHeight="1">
      <c r="A353" s="136"/>
      <c r="K353" s="482"/>
      <c r="L353" s="481" t="s">
        <v>937</v>
      </c>
    </row>
    <row r="354" ht="25.5" customHeight="1">
      <c r="K354" s="474" t="s">
        <v>938</v>
      </c>
    </row>
    <row r="355" ht="25.5" customHeight="1">
      <c r="K355" s="483" t="s">
        <v>939</v>
      </c>
    </row>
    <row r="356" spans="2:11" ht="25.5" customHeight="1">
      <c r="B356" s="473" t="s">
        <v>940</v>
      </c>
      <c r="K356" s="484">
        <v>33072000</v>
      </c>
    </row>
    <row r="357" spans="2:11" ht="25.5" customHeight="1">
      <c r="B357" s="473" t="s">
        <v>941</v>
      </c>
      <c r="K357" s="484">
        <v>2954479250</v>
      </c>
    </row>
    <row r="358" spans="2:11" ht="25.5" customHeight="1">
      <c r="B358" s="473" t="s">
        <v>942</v>
      </c>
      <c r="K358" s="484">
        <v>5404800000</v>
      </c>
    </row>
    <row r="359" spans="2:11" ht="25.5" customHeight="1">
      <c r="B359" s="473" t="s">
        <v>943</v>
      </c>
      <c r="K359" s="484">
        <v>7637604</v>
      </c>
    </row>
    <row r="360" spans="2:11" ht="25.5" customHeight="1">
      <c r="B360" s="473" t="s">
        <v>944</v>
      </c>
      <c r="K360" s="484">
        <v>18921831.34</v>
      </c>
    </row>
    <row r="361" spans="2:11" ht="25.5" customHeight="1">
      <c r="B361" s="473" t="s">
        <v>945</v>
      </c>
      <c r="K361" s="484">
        <v>2295446</v>
      </c>
    </row>
    <row r="362" spans="2:11" ht="25.5" customHeight="1">
      <c r="B362" s="473" t="s">
        <v>946</v>
      </c>
      <c r="K362" s="484">
        <v>10499031.59</v>
      </c>
    </row>
    <row r="363" spans="2:11" ht="25.5" customHeight="1">
      <c r="B363" s="473" t="s">
        <v>947</v>
      </c>
      <c r="K363" s="484">
        <v>165733250</v>
      </c>
    </row>
    <row r="364" spans="2:11" ht="25.5" customHeight="1">
      <c r="B364" s="473" t="s">
        <v>948</v>
      </c>
      <c r="K364" s="484">
        <v>-31961444</v>
      </c>
    </row>
    <row r="365" spans="2:11" ht="25.5" customHeight="1">
      <c r="B365" s="473" t="s">
        <v>949</v>
      </c>
      <c r="K365" s="484">
        <v>170000</v>
      </c>
    </row>
    <row r="366" spans="2:11" ht="25.5" customHeight="1">
      <c r="B366" s="473" t="s">
        <v>950</v>
      </c>
      <c r="K366" s="485">
        <f>SUM(K356:K365)</f>
        <v>8565646968.93</v>
      </c>
    </row>
    <row r="367" spans="2:11" ht="25.5" customHeight="1">
      <c r="B367" s="473" t="s">
        <v>951</v>
      </c>
      <c r="K367" s="486">
        <v>-7748000000</v>
      </c>
    </row>
    <row r="368" spans="2:11" ht="25.5" customHeight="1" thickBot="1">
      <c r="B368" s="473" t="s">
        <v>952</v>
      </c>
      <c r="K368" s="487">
        <f>SUM(K366:K367)</f>
        <v>817646968.9300003</v>
      </c>
    </row>
    <row r="369" ht="25.5" customHeight="1" thickTop="1"/>
    <row r="370" spans="2:11" ht="25.5" customHeight="1">
      <c r="B370" s="437" t="s">
        <v>953</v>
      </c>
      <c r="K370" s="484">
        <v>7748000000</v>
      </c>
    </row>
    <row r="371" spans="1:12" s="437" customFormat="1" ht="25.5" customHeight="1">
      <c r="A371" s="130"/>
      <c r="B371" s="473" t="s">
        <v>1277</v>
      </c>
      <c r="F371" s="131"/>
      <c r="H371" s="441"/>
      <c r="K371" s="486">
        <v>-6000952.48</v>
      </c>
      <c r="L371" s="441"/>
    </row>
    <row r="372" spans="2:11" ht="25.5" customHeight="1">
      <c r="B372" s="437" t="s">
        <v>954</v>
      </c>
      <c r="K372" s="484"/>
    </row>
    <row r="373" spans="1:12" s="437" customFormat="1" ht="25.5" customHeight="1" thickBot="1">
      <c r="A373" s="130"/>
      <c r="B373" s="473" t="s">
        <v>955</v>
      </c>
      <c r="F373" s="131"/>
      <c r="H373" s="441"/>
      <c r="K373" s="488">
        <f>SUM(K370:K372)</f>
        <v>7741999047.52</v>
      </c>
      <c r="L373" s="441"/>
    </row>
    <row r="374" ht="25.5" customHeight="1" thickTop="1"/>
    <row r="378" spans="1:13" s="437" customFormat="1" ht="25.5" customHeight="1">
      <c r="A378" s="138" t="s">
        <v>891</v>
      </c>
      <c r="B378" s="138"/>
      <c r="C378" s="138"/>
      <c r="D378" s="138"/>
      <c r="E378" s="138"/>
      <c r="F378" s="138"/>
      <c r="G378" s="138"/>
      <c r="H378" s="138"/>
      <c r="I378" s="138"/>
      <c r="J378" s="138"/>
      <c r="K378" s="138"/>
      <c r="L378" s="138"/>
      <c r="M378" s="138"/>
    </row>
    <row r="379" spans="1:13" s="437" customFormat="1" ht="25.5" customHeight="1">
      <c r="A379" s="138"/>
      <c r="B379" s="138"/>
      <c r="C379" s="138"/>
      <c r="D379" s="138"/>
      <c r="E379" s="138"/>
      <c r="F379" s="138"/>
      <c r="G379" s="138"/>
      <c r="H379" s="138"/>
      <c r="I379" s="138"/>
      <c r="J379" s="138"/>
      <c r="K379" s="138"/>
      <c r="L379" s="138"/>
      <c r="M379" s="138"/>
    </row>
    <row r="380" spans="1:13" s="131" customFormat="1" ht="25.5" customHeight="1">
      <c r="A380" s="138"/>
      <c r="B380" s="138"/>
      <c r="C380" s="138"/>
      <c r="D380" s="138"/>
      <c r="E380" s="138"/>
      <c r="F380" s="138"/>
      <c r="G380" s="138"/>
      <c r="H380" s="138"/>
      <c r="I380" s="138"/>
      <c r="J380" s="138"/>
      <c r="K380" s="138"/>
      <c r="L380" s="139"/>
      <c r="M380" s="145"/>
    </row>
    <row r="381" spans="1:13" s="131" customFormat="1" ht="25.5" customHeight="1">
      <c r="A381" s="138"/>
      <c r="B381" s="138"/>
      <c r="C381" s="138"/>
      <c r="D381" s="138"/>
      <c r="E381" s="138"/>
      <c r="F381" s="138"/>
      <c r="G381" s="138"/>
      <c r="H381" s="138"/>
      <c r="I381" s="138"/>
      <c r="J381" s="138"/>
      <c r="K381" s="138"/>
      <c r="L381" s="139"/>
      <c r="M381" s="145"/>
    </row>
    <row r="382" spans="1:14" s="436" customFormat="1" ht="25.5" customHeight="1">
      <c r="A382" s="145" t="s">
        <v>1028</v>
      </c>
      <c r="B382" s="438"/>
      <c r="C382" s="438"/>
      <c r="D382" s="438"/>
      <c r="E382" s="439"/>
      <c r="F382" s="439"/>
      <c r="G382" s="439"/>
      <c r="H382" s="439"/>
      <c r="I382" s="439"/>
      <c r="J382" s="439"/>
      <c r="K382" s="439"/>
      <c r="L382" s="439"/>
      <c r="M382" s="439"/>
      <c r="N382" s="440"/>
    </row>
    <row r="383" ht="25.5" customHeight="1">
      <c r="A383" s="136"/>
    </row>
    <row r="384" ht="25.5" customHeight="1">
      <c r="A384" s="132" t="s">
        <v>934</v>
      </c>
    </row>
    <row r="385" spans="1:2" ht="25.5" customHeight="1">
      <c r="A385" s="132"/>
      <c r="B385" s="473" t="s">
        <v>957</v>
      </c>
    </row>
    <row r="386" ht="25.5" customHeight="1">
      <c r="A386" s="136" t="s">
        <v>958</v>
      </c>
    </row>
    <row r="387" ht="25.5" customHeight="1">
      <c r="A387" s="136" t="s">
        <v>959</v>
      </c>
    </row>
    <row r="388" ht="25.5" customHeight="1">
      <c r="A388" s="136" t="s">
        <v>960</v>
      </c>
    </row>
    <row r="389" ht="25.5" customHeight="1">
      <c r="B389" s="473" t="s">
        <v>961</v>
      </c>
    </row>
    <row r="390" ht="25.5" customHeight="1">
      <c r="A390" s="473" t="s">
        <v>962</v>
      </c>
    </row>
    <row r="391" ht="25.5" customHeight="1">
      <c r="M391" s="493" t="s">
        <v>214</v>
      </c>
    </row>
    <row r="392" spans="7:14" ht="25.5" customHeight="1">
      <c r="G392" s="489" t="s">
        <v>963</v>
      </c>
      <c r="H392" s="489"/>
      <c r="I392" s="489"/>
      <c r="K392" s="490"/>
      <c r="L392" s="490" t="s">
        <v>964</v>
      </c>
      <c r="M392" s="490"/>
      <c r="N392" s="491"/>
    </row>
    <row r="393" spans="7:13" ht="25.5" customHeight="1">
      <c r="G393" s="474" t="s">
        <v>965</v>
      </c>
      <c r="H393" s="474"/>
      <c r="I393" s="474" t="s">
        <v>966</v>
      </c>
      <c r="K393" s="492" t="s">
        <v>541</v>
      </c>
      <c r="L393" s="474"/>
      <c r="M393" s="492" t="s">
        <v>126</v>
      </c>
    </row>
    <row r="394" spans="7:14" ht="25.5" customHeight="1">
      <c r="G394" s="490" t="s">
        <v>967</v>
      </c>
      <c r="H394" s="474"/>
      <c r="I394" s="490" t="s">
        <v>967</v>
      </c>
      <c r="K394" s="490"/>
      <c r="L394" s="474"/>
      <c r="M394" s="490"/>
      <c r="N394" s="491"/>
    </row>
    <row r="395" spans="2:13" ht="25.5" customHeight="1">
      <c r="B395" s="473" t="s">
        <v>968</v>
      </c>
      <c r="G395" s="473">
        <v>21.96</v>
      </c>
      <c r="I395" s="473">
        <v>22.04</v>
      </c>
      <c r="K395" s="473">
        <v>3579550980.63</v>
      </c>
      <c r="M395" s="473">
        <v>119255895.47</v>
      </c>
    </row>
    <row r="396" spans="2:13" ht="25.5" customHeight="1">
      <c r="B396" s="473" t="s">
        <v>969</v>
      </c>
      <c r="G396" s="473">
        <v>3.01</v>
      </c>
      <c r="I396" s="473">
        <v>35.76</v>
      </c>
      <c r="K396" s="473">
        <v>3225604250</v>
      </c>
      <c r="M396" s="473">
        <v>2877441550</v>
      </c>
    </row>
    <row r="397" spans="2:13" ht="25.5" customHeight="1">
      <c r="B397" s="473" t="s">
        <v>970</v>
      </c>
      <c r="G397" s="473">
        <v>2.82</v>
      </c>
      <c r="I397" s="473">
        <v>21.58</v>
      </c>
      <c r="K397" s="473">
        <v>6215654400</v>
      </c>
      <c r="M397" s="473">
        <v>5757935400</v>
      </c>
    </row>
    <row r="398" spans="2:13" ht="25.5" customHeight="1">
      <c r="B398" s="473" t="s">
        <v>971</v>
      </c>
      <c r="G398" s="473">
        <v>0</v>
      </c>
      <c r="I398" s="473">
        <v>0.98</v>
      </c>
      <c r="K398" s="473">
        <v>7637604</v>
      </c>
      <c r="M398" s="473">
        <v>8070261</v>
      </c>
    </row>
    <row r="399" spans="2:13" ht="25.5" customHeight="1">
      <c r="B399" s="473" t="s">
        <v>972</v>
      </c>
      <c r="G399" s="473">
        <v>0</v>
      </c>
      <c r="I399" s="473">
        <v>51</v>
      </c>
      <c r="K399" s="473">
        <v>18921831.34</v>
      </c>
      <c r="M399" s="473">
        <v>12321654</v>
      </c>
    </row>
    <row r="400" spans="2:13" ht="25.5" customHeight="1">
      <c r="B400" s="473" t="s">
        <v>973</v>
      </c>
      <c r="G400" s="473">
        <v>18</v>
      </c>
      <c r="I400" s="473">
        <v>38</v>
      </c>
      <c r="K400" s="473">
        <v>5247802.5</v>
      </c>
      <c r="M400" s="473">
        <v>5315611.5</v>
      </c>
    </row>
    <row r="401" spans="2:13" ht="25.5" customHeight="1">
      <c r="B401" s="473" t="s">
        <v>974</v>
      </c>
      <c r="G401" s="473">
        <v>0</v>
      </c>
      <c r="I401" s="473">
        <v>6</v>
      </c>
      <c r="K401" s="473">
        <v>10499031.59</v>
      </c>
      <c r="M401" s="473">
        <v>8959674</v>
      </c>
    </row>
    <row r="403" ht="25.5" customHeight="1">
      <c r="B403" s="473" t="s">
        <v>975</v>
      </c>
    </row>
    <row r="404" ht="25.5" customHeight="1">
      <c r="A404" s="473" t="s">
        <v>976</v>
      </c>
    </row>
    <row r="405" ht="25.5" customHeight="1">
      <c r="B405" s="473" t="s">
        <v>977</v>
      </c>
    </row>
    <row r="406" ht="25.5" customHeight="1">
      <c r="A406" s="473" t="s">
        <v>978</v>
      </c>
    </row>
    <row r="407" spans="1:2" ht="25.5" customHeight="1">
      <c r="A407" s="136" t="s">
        <v>930</v>
      </c>
      <c r="B407" s="473" t="s">
        <v>979</v>
      </c>
    </row>
    <row r="408" ht="25.5" customHeight="1">
      <c r="A408" s="136" t="s">
        <v>980</v>
      </c>
    </row>
    <row r="409" spans="1:12" ht="25.5" customHeight="1">
      <c r="A409" s="136" t="s">
        <v>981</v>
      </c>
      <c r="L409" s="481"/>
    </row>
    <row r="415" spans="1:13" s="437" customFormat="1" ht="25.5" customHeight="1">
      <c r="A415" s="138" t="s">
        <v>891</v>
      </c>
      <c r="B415" s="138"/>
      <c r="C415" s="138"/>
      <c r="D415" s="138"/>
      <c r="E415" s="138"/>
      <c r="F415" s="138"/>
      <c r="G415" s="138"/>
      <c r="H415" s="138"/>
      <c r="I415" s="138"/>
      <c r="J415" s="138"/>
      <c r="K415" s="138"/>
      <c r="L415" s="138"/>
      <c r="M415" s="138"/>
    </row>
    <row r="420" spans="1:14" s="436" customFormat="1" ht="25.5" customHeight="1">
      <c r="A420" s="145" t="s">
        <v>1069</v>
      </c>
      <c r="B420" s="438"/>
      <c r="C420" s="438"/>
      <c r="D420" s="438"/>
      <c r="E420" s="439"/>
      <c r="F420" s="439"/>
      <c r="G420" s="439"/>
      <c r="H420" s="439"/>
      <c r="I420" s="439"/>
      <c r="J420" s="439"/>
      <c r="K420" s="439"/>
      <c r="L420" s="439"/>
      <c r="M420" s="439"/>
      <c r="N420" s="440"/>
    </row>
    <row r="421" ht="25.5" customHeight="1">
      <c r="A421" s="136"/>
    </row>
    <row r="422" ht="25.5" customHeight="1">
      <c r="A422" s="132" t="s">
        <v>934</v>
      </c>
    </row>
    <row r="423" spans="1:12" ht="25.5" customHeight="1">
      <c r="A423" s="136"/>
      <c r="L423" s="481" t="s">
        <v>937</v>
      </c>
    </row>
    <row r="424" ht="25.5" customHeight="1">
      <c r="K424" s="474" t="s">
        <v>983</v>
      </c>
    </row>
    <row r="425" ht="25.5" customHeight="1">
      <c r="K425" s="483" t="s">
        <v>984</v>
      </c>
    </row>
    <row r="426" spans="2:11" ht="25.5" customHeight="1">
      <c r="B426" s="473" t="s">
        <v>727</v>
      </c>
      <c r="K426" s="484">
        <v>6000952.48</v>
      </c>
    </row>
    <row r="427" spans="2:11" ht="25.5" customHeight="1">
      <c r="B427" s="473" t="s">
        <v>985</v>
      </c>
      <c r="K427" s="484">
        <v>51042440.82</v>
      </c>
    </row>
    <row r="428" spans="2:11" ht="25.5" customHeight="1">
      <c r="B428" s="473" t="s">
        <v>986</v>
      </c>
      <c r="K428" s="484">
        <v>5993382.13</v>
      </c>
    </row>
    <row r="429" spans="2:11" ht="25.5" customHeight="1">
      <c r="B429" s="473" t="s">
        <v>987</v>
      </c>
      <c r="K429" s="484">
        <v>98434.58</v>
      </c>
    </row>
    <row r="430" spans="2:11" ht="25.5" customHeight="1">
      <c r="B430" s="473" t="s">
        <v>988</v>
      </c>
      <c r="K430" s="484">
        <v>5515734</v>
      </c>
    </row>
    <row r="431" spans="2:11" ht="25.5" customHeight="1">
      <c r="B431" s="473" t="s">
        <v>418</v>
      </c>
      <c r="K431" s="484">
        <v>2480538.31</v>
      </c>
    </row>
    <row r="432" spans="2:11" ht="25.5" customHeight="1">
      <c r="B432" s="473" t="s">
        <v>949</v>
      </c>
      <c r="K432" s="484">
        <v>1200</v>
      </c>
    </row>
    <row r="433" spans="2:11" ht="25.5" customHeight="1">
      <c r="B433" s="473" t="s">
        <v>989</v>
      </c>
      <c r="K433" s="484">
        <v>-659280.6599999999</v>
      </c>
    </row>
    <row r="434" spans="2:11" ht="25.5" customHeight="1">
      <c r="B434" s="473" t="s">
        <v>990</v>
      </c>
      <c r="K434" s="484">
        <v>-799089.51</v>
      </c>
    </row>
    <row r="435" spans="2:11" ht="25.5" customHeight="1">
      <c r="B435" s="473" t="s">
        <v>991</v>
      </c>
      <c r="K435" s="484">
        <v>-4994012.629999999</v>
      </c>
    </row>
    <row r="436" spans="2:11" ht="25.5" customHeight="1">
      <c r="B436" s="473" t="s">
        <v>992</v>
      </c>
      <c r="K436" s="486">
        <v>-27578670</v>
      </c>
    </row>
    <row r="437" spans="2:11" ht="25.5" customHeight="1">
      <c r="B437" s="473" t="s">
        <v>950</v>
      </c>
      <c r="K437" s="485">
        <f>SUM(K426:K436)</f>
        <v>37101629.519999996</v>
      </c>
    </row>
    <row r="438" spans="2:11" ht="25.5" customHeight="1">
      <c r="B438" s="473" t="s">
        <v>993</v>
      </c>
      <c r="K438" s="484">
        <f>-18179798.46+0.28</f>
        <v>-18179798.18</v>
      </c>
    </row>
    <row r="439" spans="2:11" ht="25.5" customHeight="1" thickBot="1">
      <c r="B439" s="473" t="s">
        <v>994</v>
      </c>
      <c r="K439" s="487">
        <f>SUM(K437:K438)</f>
        <v>18921831.339999996</v>
      </c>
    </row>
    <row r="440" ht="25.5" customHeight="1" thickTop="1"/>
    <row r="441" spans="1:2" ht="25.5" customHeight="1">
      <c r="A441" s="136" t="s">
        <v>930</v>
      </c>
      <c r="B441" s="473" t="s">
        <v>995</v>
      </c>
    </row>
    <row r="442" ht="25.5" customHeight="1">
      <c r="A442" s="473" t="s">
        <v>996</v>
      </c>
    </row>
    <row r="443" ht="25.5" customHeight="1">
      <c r="A443" s="473" t="s">
        <v>997</v>
      </c>
    </row>
    <row r="444" ht="25.5" customHeight="1">
      <c r="A444" s="473" t="s">
        <v>998</v>
      </c>
    </row>
    <row r="445" ht="25.5" customHeight="1">
      <c r="A445" s="473" t="s">
        <v>999</v>
      </c>
    </row>
    <row r="446" ht="25.5" customHeight="1">
      <c r="A446" s="473" t="s">
        <v>1000</v>
      </c>
    </row>
    <row r="447" ht="25.5" customHeight="1">
      <c r="A447" s="473" t="s">
        <v>1001</v>
      </c>
    </row>
    <row r="448" ht="25.5" customHeight="1">
      <c r="A448" s="473" t="s">
        <v>1002</v>
      </c>
    </row>
    <row r="449" ht="25.5" customHeight="1">
      <c r="A449" s="473" t="s">
        <v>1003</v>
      </c>
    </row>
    <row r="454" spans="1:13" s="437" customFormat="1" ht="25.5" customHeight="1">
      <c r="A454" s="138" t="s">
        <v>891</v>
      </c>
      <c r="B454" s="138"/>
      <c r="C454" s="138"/>
      <c r="D454" s="138"/>
      <c r="E454" s="138"/>
      <c r="F454" s="138"/>
      <c r="G454" s="138"/>
      <c r="H454" s="138"/>
      <c r="I454" s="138"/>
      <c r="J454" s="138"/>
      <c r="K454" s="138"/>
      <c r="L454" s="138"/>
      <c r="M454" s="138"/>
    </row>
    <row r="455" spans="1:13" s="437" customFormat="1" ht="25.5" customHeight="1">
      <c r="A455" s="138"/>
      <c r="B455" s="138"/>
      <c r="C455" s="138"/>
      <c r="D455" s="138"/>
      <c r="E455" s="138"/>
      <c r="F455" s="138"/>
      <c r="G455" s="138"/>
      <c r="H455" s="138"/>
      <c r="I455" s="138"/>
      <c r="J455" s="138"/>
      <c r="K455" s="138"/>
      <c r="L455" s="138"/>
      <c r="M455" s="138"/>
    </row>
    <row r="456" spans="1:13" s="131" customFormat="1" ht="25.5" customHeight="1">
      <c r="A456" s="138"/>
      <c r="B456" s="138"/>
      <c r="C456" s="138"/>
      <c r="D456" s="138"/>
      <c r="E456" s="138"/>
      <c r="F456" s="138"/>
      <c r="G456" s="138"/>
      <c r="H456" s="138"/>
      <c r="I456" s="138"/>
      <c r="J456" s="138"/>
      <c r="K456" s="138"/>
      <c r="L456" s="139"/>
      <c r="M456" s="145"/>
    </row>
    <row r="476" spans="1:13" s="437" customFormat="1" ht="25.5" customHeight="1">
      <c r="A476" s="385"/>
      <c r="B476" s="385"/>
      <c r="C476" s="385"/>
      <c r="D476" s="385"/>
      <c r="E476" s="385"/>
      <c r="F476" s="385"/>
      <c r="G476" s="385"/>
      <c r="H476" s="385"/>
      <c r="I476" s="385"/>
      <c r="J476" s="385"/>
      <c r="K476" s="385"/>
      <c r="L476" s="385"/>
      <c r="M476" s="385"/>
    </row>
  </sheetData>
  <sheetProtection/>
  <mergeCells count="1">
    <mergeCell ref="A4:M4"/>
  </mergeCells>
  <printOptions/>
  <pageMargins left="0.3937007874015748" right="0.31496062992125984" top="0.3937007874015748" bottom="0.1968503937007874" header="0.2362204724409449" footer="0.1968503937007874"/>
  <pageSetup horizontalDpi="600" verticalDpi="600" orientation="portrait" paperSize="9" scale="83" r:id="rId2"/>
  <rowBreaks count="1" manualBreakCount="1">
    <brk id="39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7"/>
  <sheetViews>
    <sheetView zoomScaleSheetLayoutView="85" zoomScalePageLayoutView="0" workbookViewId="0" topLeftCell="A1">
      <selection activeCell="B2" sqref="B2"/>
    </sheetView>
  </sheetViews>
  <sheetFormatPr defaultColWidth="9.140625" defaultRowHeight="24" customHeight="1"/>
  <cols>
    <col min="1" max="1" width="6.00390625" style="14" customWidth="1"/>
    <col min="2" max="2" width="14.28125" style="14" customWidth="1"/>
    <col min="3" max="3" width="13.28125" style="14" customWidth="1"/>
    <col min="4" max="4" width="21.28125" style="14" customWidth="1"/>
    <col min="5" max="5" width="1.421875" style="14" customWidth="1"/>
    <col min="6" max="6" width="21.00390625" style="42" customWidth="1"/>
    <col min="7" max="7" width="1.7109375" style="14" customWidth="1"/>
    <col min="8" max="8" width="21.28125" style="14" customWidth="1"/>
    <col min="9" max="9" width="1.7109375" style="14" customWidth="1"/>
    <col min="10" max="10" width="23.28125" style="14" customWidth="1"/>
    <col min="11" max="11" width="1.421875" style="14" customWidth="1"/>
    <col min="12" max="16384" width="9.140625" style="14" customWidth="1"/>
  </cols>
  <sheetData>
    <row r="1" spans="1:11" ht="25.5" customHeight="1">
      <c r="A1" s="913" t="s">
        <v>525</v>
      </c>
      <c r="B1" s="913"/>
      <c r="C1" s="913"/>
      <c r="D1" s="913"/>
      <c r="E1" s="913"/>
      <c r="F1" s="913"/>
      <c r="G1" s="913"/>
      <c r="H1" s="913"/>
      <c r="I1" s="913"/>
      <c r="J1" s="913"/>
      <c r="K1" s="914"/>
    </row>
    <row r="2" spans="1:10" ht="25.5" customHeight="1">
      <c r="A2" s="23"/>
      <c r="B2" s="24"/>
      <c r="C2" s="24"/>
      <c r="D2" s="24"/>
      <c r="E2" s="24"/>
      <c r="F2" s="39"/>
      <c r="G2" s="24"/>
      <c r="H2" s="24"/>
      <c r="I2" s="24"/>
      <c r="J2" s="43"/>
    </row>
    <row r="3" spans="1:10" ht="25.5" customHeight="1">
      <c r="A3" s="13" t="s">
        <v>1363</v>
      </c>
      <c r="B3" s="24"/>
      <c r="C3" s="24"/>
      <c r="D3" s="24"/>
      <c r="E3" s="24"/>
      <c r="F3" s="39"/>
      <c r="G3" s="24"/>
      <c r="H3" s="24"/>
      <c r="I3" s="24"/>
      <c r="J3" s="43"/>
    </row>
    <row r="4" spans="1:10" ht="23.25">
      <c r="A4" s="13"/>
      <c r="B4" s="24"/>
      <c r="C4" s="24"/>
      <c r="D4" s="24"/>
      <c r="E4" s="24"/>
      <c r="F4" s="39"/>
      <c r="G4" s="24"/>
      <c r="H4" s="24"/>
      <c r="I4" s="24"/>
      <c r="J4" s="38" t="s">
        <v>214</v>
      </c>
    </row>
    <row r="5" spans="1:10" ht="23.25">
      <c r="A5" s="23"/>
      <c r="B5" s="24"/>
      <c r="C5" s="24"/>
      <c r="D5" s="24"/>
      <c r="E5" s="24"/>
      <c r="F5" s="41"/>
      <c r="G5" s="25"/>
      <c r="H5" s="41"/>
      <c r="I5" s="25"/>
      <c r="J5" s="40" t="s">
        <v>120</v>
      </c>
    </row>
    <row r="6" spans="1:10" ht="23.25">
      <c r="A6" s="23"/>
      <c r="B6" s="23" t="s">
        <v>121</v>
      </c>
      <c r="C6" s="24"/>
      <c r="D6" s="24"/>
      <c r="E6" s="24"/>
      <c r="F6" s="41"/>
      <c r="G6" s="25"/>
      <c r="H6" s="41"/>
      <c r="I6" s="25"/>
      <c r="J6" s="41"/>
    </row>
    <row r="7" spans="1:10" ht="23.25">
      <c r="A7" s="26"/>
      <c r="B7" s="26" t="s">
        <v>389</v>
      </c>
      <c r="C7" s="27"/>
      <c r="D7" s="27"/>
      <c r="E7" s="27"/>
      <c r="F7" s="66"/>
      <c r="G7" s="67"/>
      <c r="H7" s="66"/>
      <c r="I7" s="68"/>
      <c r="J7" s="66">
        <v>30948285.61</v>
      </c>
    </row>
    <row r="8" spans="1:10" ht="23.25">
      <c r="A8" s="26"/>
      <c r="B8" s="26" t="s">
        <v>122</v>
      </c>
      <c r="C8" s="27"/>
      <c r="D8" s="27"/>
      <c r="E8" s="27"/>
      <c r="F8" s="66"/>
      <c r="G8" s="67"/>
      <c r="H8" s="66"/>
      <c r="I8" s="68"/>
      <c r="J8" s="66">
        <v>946894.17</v>
      </c>
    </row>
    <row r="9" spans="1:10" ht="23.25">
      <c r="A9" s="26"/>
      <c r="B9" s="26" t="s">
        <v>784</v>
      </c>
      <c r="C9" s="27"/>
      <c r="E9" s="27"/>
      <c r="F9" s="68"/>
      <c r="G9" s="68"/>
      <c r="H9" s="68"/>
      <c r="I9" s="68"/>
      <c r="J9" s="311">
        <f>SUM(J7:J8)</f>
        <v>31895179.78</v>
      </c>
    </row>
    <row r="10" spans="1:10" ht="23.25">
      <c r="A10" s="26" t="s">
        <v>366</v>
      </c>
      <c r="B10" s="26" t="s">
        <v>122</v>
      </c>
      <c r="C10" s="27"/>
      <c r="D10" s="27"/>
      <c r="E10" s="27"/>
      <c r="F10" s="66"/>
      <c r="G10" s="67"/>
      <c r="H10" s="66"/>
      <c r="I10" s="68"/>
      <c r="J10" s="797">
        <v>25743.44</v>
      </c>
    </row>
    <row r="11" spans="1:10" ht="23.25">
      <c r="A11" s="26"/>
      <c r="B11" s="26" t="s">
        <v>1361</v>
      </c>
      <c r="C11" s="27"/>
      <c r="D11" s="27"/>
      <c r="E11" s="27"/>
      <c r="F11" s="68"/>
      <c r="G11" s="68"/>
      <c r="H11" s="68"/>
      <c r="I11" s="68"/>
      <c r="J11" s="798">
        <f>SUM(J9:J10)</f>
        <v>31920923.220000003</v>
      </c>
    </row>
    <row r="12" spans="1:10" ht="23.25">
      <c r="A12" s="26"/>
      <c r="B12" s="26" t="s">
        <v>123</v>
      </c>
      <c r="C12" s="27"/>
      <c r="D12" s="27"/>
      <c r="E12" s="27"/>
      <c r="F12" s="68"/>
      <c r="G12" s="68"/>
      <c r="H12" s="68"/>
      <c r="I12" s="68"/>
      <c r="J12" s="68"/>
    </row>
    <row r="13" spans="1:10" ht="23.25">
      <c r="A13" s="26"/>
      <c r="B13" s="26" t="s">
        <v>389</v>
      </c>
      <c r="C13" s="27"/>
      <c r="D13" s="27"/>
      <c r="E13" s="27"/>
      <c r="F13" s="68"/>
      <c r="G13" s="68"/>
      <c r="H13" s="68"/>
      <c r="I13" s="68"/>
      <c r="J13" s="66">
        <v>19819269.42</v>
      </c>
    </row>
    <row r="14" spans="1:10" ht="23.25">
      <c r="A14" s="26"/>
      <c r="B14" s="26" t="s">
        <v>124</v>
      </c>
      <c r="C14" s="27"/>
      <c r="D14" s="27"/>
      <c r="E14" s="27"/>
      <c r="F14" s="125"/>
      <c r="G14" s="125"/>
      <c r="H14" s="125"/>
      <c r="I14" s="68"/>
      <c r="J14" s="66">
        <v>1552166.42</v>
      </c>
    </row>
    <row r="15" spans="1:10" ht="23.25">
      <c r="A15" s="26"/>
      <c r="B15" s="26" t="s">
        <v>784</v>
      </c>
      <c r="C15" s="27"/>
      <c r="E15" s="27"/>
      <c r="F15" s="68"/>
      <c r="G15" s="68"/>
      <c r="H15" s="68"/>
      <c r="I15" s="68"/>
      <c r="J15" s="311">
        <f>SUM(J13:J14)</f>
        <v>21371435.840000004</v>
      </c>
    </row>
    <row r="16" spans="1:10" ht="23.25">
      <c r="A16" s="26"/>
      <c r="B16" s="26" t="s">
        <v>124</v>
      </c>
      <c r="C16" s="27"/>
      <c r="D16" s="27"/>
      <c r="E16" s="27"/>
      <c r="F16" s="125"/>
      <c r="G16" s="125"/>
      <c r="H16" s="125"/>
      <c r="I16" s="68"/>
      <c r="J16" s="799">
        <v>1613297.53</v>
      </c>
    </row>
    <row r="17" spans="1:10" ht="23.25">
      <c r="A17" s="26"/>
      <c r="B17" s="26" t="s">
        <v>1361</v>
      </c>
      <c r="C17" s="27"/>
      <c r="D17" s="27"/>
      <c r="E17" s="27"/>
      <c r="F17" s="68"/>
      <c r="G17" s="68"/>
      <c r="H17" s="68"/>
      <c r="I17" s="68"/>
      <c r="J17" s="69">
        <f>SUM(J15:J16)</f>
        <v>22984733.370000005</v>
      </c>
    </row>
    <row r="18" spans="1:10" ht="23.25">
      <c r="A18" s="26"/>
      <c r="B18" s="26" t="s">
        <v>125</v>
      </c>
      <c r="C18" s="27"/>
      <c r="D18" s="27"/>
      <c r="E18" s="27"/>
      <c r="F18" s="68"/>
      <c r="G18" s="68"/>
      <c r="H18" s="68"/>
      <c r="I18" s="68"/>
      <c r="J18" s="68"/>
    </row>
    <row r="19" spans="1:10" ht="24" thickBot="1">
      <c r="A19" s="26"/>
      <c r="B19" s="26" t="s">
        <v>784</v>
      </c>
      <c r="C19" s="27"/>
      <c r="D19" s="27"/>
      <c r="E19" s="27"/>
      <c r="F19" s="68"/>
      <c r="G19" s="68"/>
      <c r="H19" s="68"/>
      <c r="I19" s="68"/>
      <c r="J19" s="70">
        <f>J9-J15</f>
        <v>10523743.939999998</v>
      </c>
    </row>
    <row r="20" spans="1:10" ht="24" thickBot="1" thickTop="1">
      <c r="A20" s="26"/>
      <c r="B20" s="26" t="s">
        <v>1361</v>
      </c>
      <c r="C20" s="27"/>
      <c r="D20" s="27"/>
      <c r="E20" s="27"/>
      <c r="F20" s="68"/>
      <c r="G20" s="68"/>
      <c r="H20" s="68"/>
      <c r="I20" s="68"/>
      <c r="J20" s="70">
        <f>J11-J17</f>
        <v>8936189.849999998</v>
      </c>
    </row>
    <row r="21" spans="1:10" ht="6.75" customHeight="1" thickTop="1">
      <c r="A21" s="26"/>
      <c r="B21" s="26"/>
      <c r="C21" s="27"/>
      <c r="D21" s="27"/>
      <c r="E21" s="27"/>
      <c r="F21" s="68"/>
      <c r="G21" s="68"/>
      <c r="H21" s="68"/>
      <c r="I21" s="68"/>
      <c r="J21" s="68"/>
    </row>
    <row r="22" spans="1:10" s="131" customFormat="1" ht="23.25">
      <c r="A22" s="800"/>
      <c r="B22" s="800" t="s">
        <v>1362</v>
      </c>
      <c r="C22" s="801"/>
      <c r="D22" s="801"/>
      <c r="E22" s="801"/>
      <c r="F22" s="801"/>
      <c r="G22" s="801"/>
      <c r="H22" s="801"/>
      <c r="I22" s="801"/>
      <c r="J22" s="800"/>
    </row>
    <row r="23" spans="1:10" ht="23.25">
      <c r="A23" s="26"/>
      <c r="C23" s="27"/>
      <c r="D23" s="27"/>
      <c r="E23" s="27"/>
      <c r="F23" s="27"/>
      <c r="G23" s="27"/>
      <c r="H23" s="27"/>
      <c r="I23" s="27"/>
      <c r="J23" s="26"/>
    </row>
    <row r="24" spans="1:10" ht="23.25">
      <c r="A24" s="13" t="s">
        <v>1364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83" customFormat="1" ht="23.25">
      <c r="A25" s="93"/>
      <c r="C25" s="94"/>
      <c r="D25" s="95"/>
      <c r="E25" s="93"/>
      <c r="F25" s="95"/>
      <c r="H25" s="96"/>
      <c r="I25" s="97"/>
      <c r="J25" s="98" t="s">
        <v>214</v>
      </c>
    </row>
    <row r="26" spans="1:10" s="83" customFormat="1" ht="24">
      <c r="A26" s="93"/>
      <c r="C26" s="94"/>
      <c r="D26" s="95"/>
      <c r="E26" s="93"/>
      <c r="F26" s="95"/>
      <c r="G26" s="99"/>
      <c r="H26" s="30"/>
      <c r="I26" s="29"/>
      <c r="J26" s="1120" t="s">
        <v>1171</v>
      </c>
    </row>
    <row r="27" spans="1:10" s="83" customFormat="1" ht="24">
      <c r="A27" s="93"/>
      <c r="C27" s="94"/>
      <c r="D27" s="95"/>
      <c r="E27" s="93"/>
      <c r="F27" s="95"/>
      <c r="G27" s="99"/>
      <c r="H27" s="1120" t="s">
        <v>1326</v>
      </c>
      <c r="I27" s="1120"/>
      <c r="J27" s="1120" t="s">
        <v>1172</v>
      </c>
    </row>
    <row r="28" spans="1:10" s="83" customFormat="1" ht="24">
      <c r="A28" s="93"/>
      <c r="C28" s="94"/>
      <c r="D28" s="95"/>
      <c r="E28" s="93"/>
      <c r="F28" s="95"/>
      <c r="G28" s="99"/>
      <c r="H28" s="1120" t="s">
        <v>126</v>
      </c>
      <c r="I28" s="1120"/>
      <c r="J28" s="1120" t="s">
        <v>1327</v>
      </c>
    </row>
    <row r="29" spans="1:10" s="83" customFormat="1" ht="23.25">
      <c r="A29" s="93"/>
      <c r="C29" s="94"/>
      <c r="D29" s="95"/>
      <c r="E29" s="93"/>
      <c r="F29" s="95"/>
      <c r="G29" s="100"/>
      <c r="H29" s="1122"/>
      <c r="I29" s="1122"/>
      <c r="J29" s="1122" t="s">
        <v>126</v>
      </c>
    </row>
    <row r="30" spans="1:10" s="83" customFormat="1" ht="23.25">
      <c r="A30" s="93"/>
      <c r="C30" s="94"/>
      <c r="D30" s="95"/>
      <c r="E30" s="93"/>
      <c r="F30" s="95"/>
      <c r="H30" s="101" t="s">
        <v>898</v>
      </c>
      <c r="I30" s="96"/>
      <c r="J30" s="101" t="s">
        <v>747</v>
      </c>
    </row>
    <row r="31" spans="2:10" ht="23.25">
      <c r="B31" s="2" t="s">
        <v>662</v>
      </c>
      <c r="C31" s="2"/>
      <c r="D31" s="2"/>
      <c r="E31" s="2"/>
      <c r="F31" s="3"/>
      <c r="G31" s="2"/>
      <c r="H31" s="73">
        <v>60753000</v>
      </c>
      <c r="I31" s="102"/>
      <c r="J31" s="73">
        <v>60753000</v>
      </c>
    </row>
    <row r="32" spans="2:10" ht="23.25">
      <c r="B32" s="2" t="s">
        <v>663</v>
      </c>
      <c r="C32" s="2"/>
      <c r="D32" s="2"/>
      <c r="E32" s="2"/>
      <c r="F32" s="3"/>
      <c r="G32" s="2"/>
      <c r="H32" s="103">
        <v>-18225900</v>
      </c>
      <c r="I32" s="102"/>
      <c r="J32" s="103">
        <v>-18225900</v>
      </c>
    </row>
    <row r="33" spans="1:10" ht="24" thickBot="1">
      <c r="A33" s="2"/>
      <c r="B33" s="11" t="s">
        <v>664</v>
      </c>
      <c r="C33" s="15"/>
      <c r="D33" s="2"/>
      <c r="E33" s="2"/>
      <c r="F33" s="3"/>
      <c r="G33" s="2"/>
      <c r="H33" s="104">
        <f>SUM(H31:H32)</f>
        <v>42527100</v>
      </c>
      <c r="I33" s="102"/>
      <c r="J33" s="104">
        <f>SUM(J31:J32)</f>
        <v>42527100</v>
      </c>
    </row>
    <row r="34" spans="1:10" ht="24" thickTop="1">
      <c r="A34" s="2"/>
      <c r="B34" s="11"/>
      <c r="C34" s="15"/>
      <c r="D34" s="2"/>
      <c r="E34" s="2"/>
      <c r="F34" s="3"/>
      <c r="G34" s="2"/>
      <c r="H34" s="369"/>
      <c r="I34" s="102"/>
      <c r="J34" s="369"/>
    </row>
    <row r="35" spans="1:10" ht="23.25">
      <c r="A35" s="2" t="s">
        <v>665</v>
      </c>
      <c r="C35" s="24"/>
      <c r="D35" s="24"/>
      <c r="E35" s="24"/>
      <c r="F35" s="24"/>
      <c r="G35" s="24"/>
      <c r="H35" s="24"/>
      <c r="I35" s="24"/>
      <c r="J35" s="24"/>
    </row>
    <row r="36" spans="1:10" ht="23.25">
      <c r="A36" s="2" t="s">
        <v>422</v>
      </c>
      <c r="C36" s="24"/>
      <c r="D36" s="24"/>
      <c r="E36" s="24"/>
      <c r="F36" s="24"/>
      <c r="G36" s="24"/>
      <c r="H36" s="24"/>
      <c r="I36" s="24"/>
      <c r="J36" s="24"/>
    </row>
    <row r="37" spans="1:10" ht="23.25">
      <c r="A37" s="105" t="s">
        <v>666</v>
      </c>
      <c r="C37" s="24"/>
      <c r="D37" s="24"/>
      <c r="E37" s="24"/>
      <c r="F37" s="24"/>
      <c r="G37" s="24"/>
      <c r="H37" s="24"/>
      <c r="I37" s="24"/>
      <c r="J37" s="24"/>
    </row>
    <row r="38" spans="1:10" ht="23.25">
      <c r="A38" s="2" t="s">
        <v>667</v>
      </c>
      <c r="C38" s="24"/>
      <c r="D38" s="24"/>
      <c r="E38" s="24"/>
      <c r="F38" s="24"/>
      <c r="G38" s="24"/>
      <c r="H38" s="24"/>
      <c r="I38" s="24"/>
      <c r="J38" s="24"/>
    </row>
    <row r="39" spans="1:10" ht="23.25">
      <c r="A39" s="2" t="s">
        <v>668</v>
      </c>
      <c r="C39" s="24"/>
      <c r="D39" s="24"/>
      <c r="E39" s="24"/>
      <c r="F39" s="24"/>
      <c r="G39" s="24"/>
      <c r="H39" s="24"/>
      <c r="I39" s="24"/>
      <c r="J39" s="24"/>
    </row>
    <row r="40" spans="1:10" ht="8.25" customHeight="1">
      <c r="A40" s="2"/>
      <c r="C40" s="24"/>
      <c r="D40" s="24"/>
      <c r="E40" s="24"/>
      <c r="F40" s="24"/>
      <c r="G40" s="24"/>
      <c r="H40" s="24"/>
      <c r="I40" s="24"/>
      <c r="J40" s="24"/>
    </row>
    <row r="41" spans="1:10" ht="25.5" customHeight="1">
      <c r="A41" s="2"/>
      <c r="C41" s="24"/>
      <c r="D41" s="24"/>
      <c r="E41" s="24"/>
      <c r="F41" s="24"/>
      <c r="G41" s="24"/>
      <c r="H41" s="24"/>
      <c r="I41" s="24"/>
      <c r="J41" s="24"/>
    </row>
    <row r="42" spans="1:10" ht="25.5" customHeight="1">
      <c r="A42" s="12" t="s">
        <v>118</v>
      </c>
      <c r="B42" s="49"/>
      <c r="C42" s="24"/>
      <c r="D42" s="24"/>
      <c r="E42" s="24"/>
      <c r="F42" s="24"/>
      <c r="G42" s="24"/>
      <c r="H42" s="24"/>
      <c r="I42" s="24"/>
      <c r="J42" s="50"/>
    </row>
    <row r="43" spans="1:11" ht="25.5" customHeight="1">
      <c r="A43" s="913" t="s">
        <v>536</v>
      </c>
      <c r="B43" s="913"/>
      <c r="C43" s="913"/>
      <c r="D43" s="913"/>
      <c r="E43" s="913"/>
      <c r="F43" s="913"/>
      <c r="G43" s="913"/>
      <c r="H43" s="913"/>
      <c r="I43" s="913"/>
      <c r="J43" s="913"/>
      <c r="K43" s="914"/>
    </row>
    <row r="44" spans="1:10" ht="9.75" customHeight="1">
      <c r="A44" s="2"/>
      <c r="C44" s="24"/>
      <c r="D44" s="24"/>
      <c r="E44" s="24"/>
      <c r="F44" s="24"/>
      <c r="G44" s="24"/>
      <c r="H44" s="24"/>
      <c r="I44" s="24"/>
      <c r="J44" s="24"/>
    </row>
    <row r="45" spans="1:8" ht="23.25">
      <c r="A45" s="13" t="s">
        <v>1365</v>
      </c>
      <c r="B45" s="2"/>
      <c r="C45" s="2"/>
      <c r="D45" s="2"/>
      <c r="E45" s="2"/>
      <c r="F45" s="3"/>
      <c r="G45" s="2"/>
      <c r="H45" s="106"/>
    </row>
    <row r="46" spans="1:10" ht="17.25" customHeight="1">
      <c r="A46" s="13"/>
      <c r="B46" s="2"/>
      <c r="C46" s="2"/>
      <c r="D46" s="2"/>
      <c r="E46" s="2"/>
      <c r="F46" s="3"/>
      <c r="G46" s="2"/>
      <c r="H46" s="106"/>
      <c r="J46" s="345" t="s">
        <v>214</v>
      </c>
    </row>
    <row r="47" spans="2:10" s="30" customFormat="1" ht="24">
      <c r="B47" s="11"/>
      <c r="C47" s="119"/>
      <c r="D47" s="119"/>
      <c r="E47" s="16"/>
      <c r="F47" s="16"/>
      <c r="I47" s="29"/>
      <c r="J47" s="1120" t="s">
        <v>1171</v>
      </c>
    </row>
    <row r="48" spans="2:10" s="30" customFormat="1" ht="24">
      <c r="B48" s="11"/>
      <c r="C48" s="119"/>
      <c r="D48" s="119"/>
      <c r="E48" s="16"/>
      <c r="F48" s="16"/>
      <c r="H48" s="1120" t="s">
        <v>1326</v>
      </c>
      <c r="I48" s="1120"/>
      <c r="J48" s="1120" t="s">
        <v>1172</v>
      </c>
    </row>
    <row r="49" spans="2:10" s="30" customFormat="1" ht="24">
      <c r="B49" s="11"/>
      <c r="C49" s="119"/>
      <c r="D49" s="119"/>
      <c r="E49" s="16"/>
      <c r="F49" s="16"/>
      <c r="H49" s="1120" t="s">
        <v>126</v>
      </c>
      <c r="I49" s="1120"/>
      <c r="J49" s="1120" t="s">
        <v>1327</v>
      </c>
    </row>
    <row r="50" spans="2:10" s="30" customFormat="1" ht="24">
      <c r="B50" s="11"/>
      <c r="C50" s="119"/>
      <c r="D50" s="119"/>
      <c r="E50" s="16"/>
      <c r="F50" s="16"/>
      <c r="G50" s="2"/>
      <c r="H50" s="1122"/>
      <c r="I50" s="1122"/>
      <c r="J50" s="1122" t="s">
        <v>126</v>
      </c>
    </row>
    <row r="51" spans="1:10" ht="23.25">
      <c r="A51" s="2"/>
      <c r="B51" s="2"/>
      <c r="C51" s="2"/>
      <c r="D51" s="2"/>
      <c r="E51" s="2"/>
      <c r="F51" s="3"/>
      <c r="G51" s="2"/>
      <c r="H51" s="57" t="s">
        <v>898</v>
      </c>
      <c r="I51" s="46"/>
      <c r="J51" s="57" t="s">
        <v>747</v>
      </c>
    </row>
    <row r="52" spans="2:10" ht="23.25">
      <c r="B52" s="2" t="s">
        <v>137</v>
      </c>
      <c r="C52" s="2"/>
      <c r="D52" s="2"/>
      <c r="E52" s="2"/>
      <c r="F52" s="3"/>
      <c r="G52" s="2"/>
      <c r="H52" s="802">
        <v>4080000000</v>
      </c>
      <c r="I52" s="803"/>
      <c r="J52" s="802">
        <v>560000000</v>
      </c>
    </row>
    <row r="53" spans="1:10" ht="24" thickBot="1">
      <c r="A53" s="2"/>
      <c r="C53" s="15" t="s">
        <v>212</v>
      </c>
      <c r="D53" s="2"/>
      <c r="E53" s="2"/>
      <c r="F53" s="3"/>
      <c r="G53" s="2"/>
      <c r="H53" s="123">
        <f>SUM(H52:H52)</f>
        <v>4080000000</v>
      </c>
      <c r="I53" s="124"/>
      <c r="J53" s="123">
        <f>SUM(J52:J52)</f>
        <v>560000000</v>
      </c>
    </row>
    <row r="54" spans="1:6" s="2" customFormat="1" ht="24" thickTop="1">
      <c r="A54" s="15" t="s">
        <v>1737</v>
      </c>
      <c r="F54" s="3"/>
    </row>
    <row r="55" spans="2:9" s="134" customFormat="1" ht="24" customHeight="1">
      <c r="B55" s="134" t="s">
        <v>1371</v>
      </c>
      <c r="F55" s="804"/>
      <c r="H55" s="804"/>
      <c r="I55" s="804"/>
    </row>
    <row r="56" spans="1:9" s="134" customFormat="1" ht="24" customHeight="1">
      <c r="A56" s="134" t="s">
        <v>1372</v>
      </c>
      <c r="F56" s="804"/>
      <c r="H56" s="804"/>
      <c r="I56" s="805"/>
    </row>
    <row r="57" spans="1:6" s="2" customFormat="1" ht="23.25">
      <c r="A57" s="2" t="s">
        <v>1738</v>
      </c>
      <c r="F57" s="3"/>
    </row>
    <row r="58" spans="2:9" s="134" customFormat="1" ht="24" customHeight="1">
      <c r="B58" s="134" t="s">
        <v>1733</v>
      </c>
      <c r="F58" s="804"/>
      <c r="H58" s="804"/>
      <c r="I58" s="804"/>
    </row>
    <row r="59" spans="1:9" s="134" customFormat="1" ht="24" customHeight="1">
      <c r="A59" s="134" t="s">
        <v>1732</v>
      </c>
      <c r="F59" s="804"/>
      <c r="H59" s="804"/>
      <c r="I59" s="804"/>
    </row>
    <row r="60" spans="1:9" s="134" customFormat="1" ht="24" customHeight="1">
      <c r="A60" s="134" t="s">
        <v>1812</v>
      </c>
      <c r="F60" s="804"/>
      <c r="H60" s="804"/>
      <c r="I60" s="804"/>
    </row>
    <row r="61" spans="1:10" ht="6" customHeight="1">
      <c r="A61" s="2"/>
      <c r="C61" s="24"/>
      <c r="D61" s="24"/>
      <c r="E61" s="24"/>
      <c r="F61" s="24"/>
      <c r="G61" s="24"/>
      <c r="H61" s="24"/>
      <c r="I61" s="24"/>
      <c r="J61" s="24"/>
    </row>
    <row r="62" spans="1:6" s="2" customFormat="1" ht="26.25" customHeight="1">
      <c r="A62" s="29" t="s">
        <v>1379</v>
      </c>
      <c r="B62" s="122"/>
      <c r="C62" s="122"/>
      <c r="D62" s="122"/>
      <c r="E62" s="122"/>
      <c r="F62" s="121"/>
    </row>
    <row r="63" spans="1:10" s="2" customFormat="1" ht="23.25">
      <c r="A63" s="11" t="s">
        <v>114</v>
      </c>
      <c r="B63" s="122"/>
      <c r="C63" s="122"/>
      <c r="D63" s="122"/>
      <c r="E63" s="122"/>
      <c r="F63" s="121"/>
      <c r="H63" s="106"/>
      <c r="I63" s="14"/>
      <c r="J63" s="38"/>
    </row>
    <row r="64" spans="1:10" ht="19.5" customHeight="1">
      <c r="A64" s="13"/>
      <c r="B64" s="2"/>
      <c r="C64" s="2"/>
      <c r="D64" s="2"/>
      <c r="E64" s="2"/>
      <c r="F64" s="3"/>
      <c r="G64" s="2"/>
      <c r="H64" s="106"/>
      <c r="J64" s="38" t="s">
        <v>214</v>
      </c>
    </row>
    <row r="65" spans="2:10" s="30" customFormat="1" ht="24">
      <c r="B65" s="11"/>
      <c r="C65" s="119"/>
      <c r="D65" s="119"/>
      <c r="E65" s="16"/>
      <c r="F65" s="16"/>
      <c r="G65" s="29"/>
      <c r="I65" s="29"/>
      <c r="J65" s="1120" t="s">
        <v>1171</v>
      </c>
    </row>
    <row r="66" spans="2:10" s="30" customFormat="1" ht="24">
      <c r="B66" s="11"/>
      <c r="C66" s="119"/>
      <c r="D66" s="119"/>
      <c r="E66" s="16"/>
      <c r="F66" s="16"/>
      <c r="G66" s="1120"/>
      <c r="H66" s="1120" t="s">
        <v>1326</v>
      </c>
      <c r="I66" s="1120"/>
      <c r="J66" s="1120" t="s">
        <v>1172</v>
      </c>
    </row>
    <row r="67" spans="2:10" s="30" customFormat="1" ht="24">
      <c r="B67" s="11"/>
      <c r="C67" s="119"/>
      <c r="D67" s="119"/>
      <c r="E67" s="16"/>
      <c r="F67" s="16"/>
      <c r="G67" s="1120"/>
      <c r="H67" s="1120" t="s">
        <v>126</v>
      </c>
      <c r="I67" s="1120"/>
      <c r="J67" s="1120" t="s">
        <v>1327</v>
      </c>
    </row>
    <row r="68" spans="2:10" s="30" customFormat="1" ht="24">
      <c r="B68" s="11"/>
      <c r="C68" s="119"/>
      <c r="D68" s="119"/>
      <c r="E68" s="16"/>
      <c r="F68" s="16"/>
      <c r="G68" s="2"/>
      <c r="H68" s="1122"/>
      <c r="I68" s="1122"/>
      <c r="J68" s="1122" t="s">
        <v>126</v>
      </c>
    </row>
    <row r="69" spans="1:10" s="2" customFormat="1" ht="23.25">
      <c r="A69" s="15"/>
      <c r="B69" s="122"/>
      <c r="C69" s="122"/>
      <c r="D69" s="122"/>
      <c r="E69" s="122"/>
      <c r="F69" s="121"/>
      <c r="H69" s="57" t="s">
        <v>898</v>
      </c>
      <c r="I69" s="46"/>
      <c r="J69" s="57" t="s">
        <v>747</v>
      </c>
    </row>
    <row r="70" spans="2:10" s="2" customFormat="1" ht="23.25">
      <c r="B70" s="15" t="s">
        <v>115</v>
      </c>
      <c r="C70" s="11"/>
      <c r="D70" s="119"/>
      <c r="E70" s="119"/>
      <c r="F70" s="118"/>
      <c r="H70" s="806">
        <v>0</v>
      </c>
      <c r="I70" s="807"/>
      <c r="J70" s="682">
        <v>1200000000</v>
      </c>
    </row>
    <row r="71" spans="2:10" s="2" customFormat="1" ht="23.25">
      <c r="B71" s="11" t="s">
        <v>138</v>
      </c>
      <c r="C71" s="11"/>
      <c r="D71" s="119"/>
      <c r="E71" s="119"/>
      <c r="F71" s="118"/>
      <c r="H71" s="808">
        <v>0</v>
      </c>
      <c r="I71" s="809"/>
      <c r="J71" s="808">
        <v>-300000000</v>
      </c>
    </row>
    <row r="72" spans="2:10" s="2" customFormat="1" ht="24" thickBot="1">
      <c r="B72" s="15" t="s">
        <v>654</v>
      </c>
      <c r="C72" s="15"/>
      <c r="D72" s="119"/>
      <c r="E72" s="119"/>
      <c r="F72" s="118"/>
      <c r="H72" s="120">
        <f>SUM(H70:H71)</f>
        <v>0</v>
      </c>
      <c r="I72" s="117"/>
      <c r="J72" s="120">
        <f>SUM(J70:J71)</f>
        <v>900000000</v>
      </c>
    </row>
    <row r="73" spans="1:10" ht="13.5" customHeight="1" thickTop="1">
      <c r="A73" s="2"/>
      <c r="C73" s="24"/>
      <c r="D73" s="24"/>
      <c r="E73" s="24"/>
      <c r="F73" s="24"/>
      <c r="G73" s="24"/>
      <c r="H73" s="24"/>
      <c r="I73" s="24"/>
      <c r="J73" s="24"/>
    </row>
    <row r="74" spans="2:10" s="134" customFormat="1" ht="23.25">
      <c r="B74" s="309" t="s">
        <v>1380</v>
      </c>
      <c r="C74" s="309"/>
      <c r="D74" s="810"/>
      <c r="E74" s="810"/>
      <c r="F74" s="811"/>
      <c r="H74" s="812"/>
      <c r="I74" s="813"/>
      <c r="J74" s="812"/>
    </row>
    <row r="75" spans="2:10" s="134" customFormat="1" ht="23.25">
      <c r="B75" s="309" t="s">
        <v>785</v>
      </c>
      <c r="C75" s="309"/>
      <c r="D75" s="810"/>
      <c r="E75" s="810"/>
      <c r="F75" s="811"/>
      <c r="H75" s="812"/>
      <c r="I75" s="813"/>
      <c r="J75" s="812"/>
    </row>
    <row r="76" spans="2:10" s="134" customFormat="1" ht="23.25">
      <c r="B76" s="309" t="s">
        <v>1373</v>
      </c>
      <c r="C76" s="309"/>
      <c r="D76" s="810"/>
      <c r="E76" s="810"/>
      <c r="F76" s="811"/>
      <c r="H76" s="812"/>
      <c r="I76" s="813"/>
      <c r="J76" s="812"/>
    </row>
    <row r="77" spans="2:10" s="134" customFormat="1" ht="23.25">
      <c r="B77" s="309" t="s">
        <v>1376</v>
      </c>
      <c r="C77" s="309"/>
      <c r="D77" s="810"/>
      <c r="E77" s="810"/>
      <c r="F77" s="811"/>
      <c r="H77" s="812"/>
      <c r="I77" s="813"/>
      <c r="J77" s="812"/>
    </row>
    <row r="78" spans="2:10" s="134" customFormat="1" ht="23.25">
      <c r="B78" s="309" t="s">
        <v>1377</v>
      </c>
      <c r="C78" s="309"/>
      <c r="D78" s="810"/>
      <c r="E78" s="810"/>
      <c r="F78" s="811"/>
      <c r="H78" s="812"/>
      <c r="I78" s="813"/>
      <c r="J78" s="812"/>
    </row>
    <row r="79" spans="2:10" s="134" customFormat="1" ht="23.25">
      <c r="B79" s="309" t="s">
        <v>1381</v>
      </c>
      <c r="C79" s="309"/>
      <c r="D79" s="810"/>
      <c r="E79" s="810"/>
      <c r="F79" s="811"/>
      <c r="H79" s="812"/>
      <c r="I79" s="813"/>
      <c r="J79" s="812"/>
    </row>
    <row r="80" spans="2:10" s="134" customFormat="1" ht="23.25">
      <c r="B80" s="309" t="s">
        <v>1374</v>
      </c>
      <c r="C80" s="309"/>
      <c r="D80" s="810"/>
      <c r="E80" s="810"/>
      <c r="F80" s="811"/>
      <c r="H80" s="812"/>
      <c r="I80" s="813"/>
      <c r="J80" s="812"/>
    </row>
    <row r="81" spans="2:10" s="134" customFormat="1" ht="23.25">
      <c r="B81" s="309" t="s">
        <v>1375</v>
      </c>
      <c r="C81" s="309"/>
      <c r="D81" s="810"/>
      <c r="E81" s="810"/>
      <c r="F81" s="811"/>
      <c r="H81" s="812"/>
      <c r="I81" s="813"/>
      <c r="J81" s="812"/>
    </row>
    <row r="82" spans="2:10" s="134" customFormat="1" ht="23.25">
      <c r="B82" s="309" t="s">
        <v>1378</v>
      </c>
      <c r="C82" s="309"/>
      <c r="D82" s="810"/>
      <c r="E82" s="810"/>
      <c r="F82" s="811"/>
      <c r="H82" s="812"/>
      <c r="I82" s="813"/>
      <c r="J82" s="812"/>
    </row>
    <row r="83" spans="2:10" s="134" customFormat="1" ht="23.25">
      <c r="B83" s="309" t="s">
        <v>1377</v>
      </c>
      <c r="C83" s="309"/>
      <c r="D83" s="810"/>
      <c r="E83" s="810"/>
      <c r="F83" s="811"/>
      <c r="H83" s="812"/>
      <c r="I83" s="813"/>
      <c r="J83" s="812"/>
    </row>
    <row r="84" spans="3:9" s="252" customFormat="1" ht="5.25" customHeight="1">
      <c r="C84" s="253"/>
      <c r="D84" s="253"/>
      <c r="E84" s="253"/>
      <c r="F84" s="254"/>
      <c r="G84" s="253"/>
      <c r="H84" s="253"/>
      <c r="I84" s="253"/>
    </row>
    <row r="85" spans="3:9" s="252" customFormat="1" ht="22.5" customHeight="1">
      <c r="C85" s="253"/>
      <c r="D85" s="253"/>
      <c r="E85" s="253"/>
      <c r="F85" s="254"/>
      <c r="G85" s="253"/>
      <c r="H85" s="253"/>
      <c r="I85" s="253"/>
    </row>
    <row r="86" spans="1:10" ht="25.5" customHeight="1">
      <c r="A86" s="12" t="s">
        <v>118</v>
      </c>
      <c r="B86" s="49"/>
      <c r="C86" s="24"/>
      <c r="D86" s="24"/>
      <c r="E86" s="24"/>
      <c r="F86" s="24"/>
      <c r="G86" s="24"/>
      <c r="H86" s="24"/>
      <c r="I86" s="24"/>
      <c r="J86" s="50"/>
    </row>
    <row r="87" spans="1:11" ht="25.5" customHeight="1">
      <c r="A87" s="913" t="s">
        <v>423</v>
      </c>
      <c r="B87" s="913"/>
      <c r="C87" s="913"/>
      <c r="D87" s="913"/>
      <c r="E87" s="913"/>
      <c r="F87" s="913"/>
      <c r="G87" s="913"/>
      <c r="H87" s="913"/>
      <c r="I87" s="913"/>
      <c r="J87" s="913"/>
      <c r="K87" s="914"/>
    </row>
    <row r="88" spans="1:10" ht="7.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</row>
    <row r="89" spans="1:9" s="131" customFormat="1" ht="23.25">
      <c r="A89" s="429" t="s">
        <v>1388</v>
      </c>
      <c r="B89" s="309"/>
      <c r="C89" s="814"/>
      <c r="D89" s="814"/>
      <c r="E89" s="814"/>
      <c r="F89" s="815"/>
      <c r="G89" s="814"/>
      <c r="H89" s="814"/>
      <c r="I89" s="814"/>
    </row>
    <row r="90" spans="1:9" s="131" customFormat="1" ht="23.25">
      <c r="A90" s="429"/>
      <c r="B90" s="36" t="s">
        <v>1383</v>
      </c>
      <c r="C90" s="814"/>
      <c r="D90" s="814"/>
      <c r="E90" s="814"/>
      <c r="F90" s="815"/>
      <c r="G90" s="814"/>
      <c r="H90" s="814"/>
      <c r="I90" s="814"/>
    </row>
    <row r="91" spans="1:9" s="131" customFormat="1" ht="23.25">
      <c r="A91" s="816" t="s">
        <v>1384</v>
      </c>
      <c r="B91" s="228"/>
      <c r="C91" s="814"/>
      <c r="D91" s="814"/>
      <c r="E91" s="814"/>
      <c r="F91" s="815"/>
      <c r="G91" s="814"/>
      <c r="H91" s="814"/>
      <c r="I91" s="814"/>
    </row>
    <row r="92" spans="1:9" s="131" customFormat="1" ht="23.25">
      <c r="A92" s="816" t="s">
        <v>1385</v>
      </c>
      <c r="B92" s="309"/>
      <c r="C92" s="814"/>
      <c r="D92" s="814"/>
      <c r="E92" s="814"/>
      <c r="F92" s="815"/>
      <c r="G92" s="814"/>
      <c r="H92" s="814"/>
      <c r="I92" s="814"/>
    </row>
    <row r="93" spans="1:9" s="131" customFormat="1" ht="23.25">
      <c r="A93" s="816" t="s">
        <v>1386</v>
      </c>
      <c r="B93" s="309"/>
      <c r="C93" s="814"/>
      <c r="D93" s="814"/>
      <c r="E93" s="814"/>
      <c r="F93" s="815"/>
      <c r="G93" s="814"/>
      <c r="H93" s="814"/>
      <c r="I93" s="814"/>
    </row>
    <row r="94" s="128" customFormat="1" ht="23.25">
      <c r="A94" s="816" t="s">
        <v>1387</v>
      </c>
    </row>
    <row r="95" s="128" customFormat="1" ht="6" customHeight="1">
      <c r="A95" s="816"/>
    </row>
    <row r="96" spans="1:8" s="128" customFormat="1" ht="23.25">
      <c r="A96" s="429" t="s">
        <v>1431</v>
      </c>
      <c r="B96" s="817"/>
      <c r="C96" s="817"/>
      <c r="D96" s="817"/>
      <c r="E96" s="817"/>
      <c r="F96" s="817"/>
      <c r="G96" s="817"/>
      <c r="H96" s="817"/>
    </row>
    <row r="97" spans="1:10" s="820" customFormat="1" ht="23.25">
      <c r="A97" s="818"/>
      <c r="B97" s="818" t="s">
        <v>1389</v>
      </c>
      <c r="C97" s="818"/>
      <c r="D97" s="818"/>
      <c r="E97" s="818"/>
      <c r="F97" s="819"/>
      <c r="G97" s="818"/>
      <c r="H97" s="818"/>
      <c r="I97" s="818"/>
      <c r="J97" s="819"/>
    </row>
    <row r="98" spans="1:10" s="820" customFormat="1" ht="23.25">
      <c r="A98" s="818" t="s">
        <v>1390</v>
      </c>
      <c r="B98" s="818"/>
      <c r="C98" s="818"/>
      <c r="D98" s="818"/>
      <c r="E98" s="818"/>
      <c r="F98" s="819"/>
      <c r="G98" s="818"/>
      <c r="H98" s="818"/>
      <c r="I98" s="818"/>
      <c r="J98" s="819"/>
    </row>
    <row r="99" spans="1:10" s="820" customFormat="1" ht="23.25">
      <c r="A99" s="818" t="s">
        <v>1391</v>
      </c>
      <c r="B99" s="818"/>
      <c r="C99" s="818"/>
      <c r="D99" s="818"/>
      <c r="E99" s="818"/>
      <c r="F99" s="819"/>
      <c r="G99" s="818"/>
      <c r="H99" s="818"/>
      <c r="I99" s="818"/>
      <c r="J99" s="819"/>
    </row>
    <row r="100" spans="1:10" s="820" customFormat="1" ht="23.25">
      <c r="A100" s="818" t="s">
        <v>1392</v>
      </c>
      <c r="B100" s="818"/>
      <c r="C100" s="818"/>
      <c r="D100" s="818"/>
      <c r="E100" s="818"/>
      <c r="F100" s="819"/>
      <c r="G100" s="818"/>
      <c r="H100" s="818"/>
      <c r="I100" s="818"/>
      <c r="J100" s="819"/>
    </row>
    <row r="101" spans="1:10" s="820" customFormat="1" ht="23.25">
      <c r="A101" s="818" t="s">
        <v>1393</v>
      </c>
      <c r="B101" s="818"/>
      <c r="C101" s="818"/>
      <c r="D101" s="818"/>
      <c r="E101" s="818"/>
      <c r="F101" s="819"/>
      <c r="G101" s="818"/>
      <c r="H101" s="818"/>
      <c r="I101" s="818"/>
      <c r="J101" s="819"/>
    </row>
    <row r="102" spans="2:10" s="820" customFormat="1" ht="4.5" customHeight="1">
      <c r="B102" s="825"/>
      <c r="C102" s="818"/>
      <c r="D102" s="818"/>
      <c r="E102" s="818"/>
      <c r="F102" s="819"/>
      <c r="G102" s="818"/>
      <c r="H102" s="818"/>
      <c r="I102" s="818"/>
      <c r="J102" s="819"/>
    </row>
    <row r="103" spans="2:10" s="820" customFormat="1" ht="24" customHeight="1">
      <c r="B103" s="826" t="s">
        <v>1394</v>
      </c>
      <c r="C103" s="827"/>
      <c r="D103" s="828" t="s">
        <v>1395</v>
      </c>
      <c r="E103" s="829"/>
      <c r="F103" s="829"/>
      <c r="G103" s="830"/>
      <c r="H103" s="831"/>
      <c r="I103" s="832"/>
      <c r="J103" s="833"/>
    </row>
    <row r="104" spans="2:10" s="820" customFormat="1" ht="24" customHeight="1">
      <c r="B104" s="835"/>
      <c r="C104" s="836"/>
      <c r="D104" s="837" t="s">
        <v>1396</v>
      </c>
      <c r="E104" s="838"/>
      <c r="F104" s="838"/>
      <c r="G104" s="839"/>
      <c r="H104" s="839"/>
      <c r="I104" s="840"/>
      <c r="J104" s="841"/>
    </row>
    <row r="105" spans="2:10" s="820" customFormat="1" ht="24" customHeight="1">
      <c r="B105" s="842" t="s">
        <v>1397</v>
      </c>
      <c r="C105" s="827"/>
      <c r="D105" s="828" t="s">
        <v>1398</v>
      </c>
      <c r="E105" s="829"/>
      <c r="F105" s="829"/>
      <c r="G105" s="830"/>
      <c r="H105" s="843"/>
      <c r="I105" s="844"/>
      <c r="J105" s="845"/>
    </row>
    <row r="106" spans="1:10" s="854" customFormat="1" ht="24" customHeight="1">
      <c r="A106" s="846"/>
      <c r="B106" s="847"/>
      <c r="C106" s="848"/>
      <c r="D106" s="849" t="s">
        <v>1399</v>
      </c>
      <c r="E106" s="850"/>
      <c r="F106" s="850"/>
      <c r="G106" s="851"/>
      <c r="H106" s="852"/>
      <c r="I106" s="853"/>
      <c r="J106" s="841"/>
    </row>
    <row r="107" spans="2:10" s="820" customFormat="1" ht="24" customHeight="1">
      <c r="B107" s="855" t="s">
        <v>1400</v>
      </c>
      <c r="C107" s="856"/>
      <c r="D107" s="857" t="s">
        <v>1401</v>
      </c>
      <c r="E107" s="858"/>
      <c r="F107" s="858"/>
      <c r="G107" s="859"/>
      <c r="H107" s="860"/>
      <c r="I107" s="860"/>
      <c r="J107" s="861"/>
    </row>
    <row r="108" spans="2:10" s="820" customFormat="1" ht="24" customHeight="1">
      <c r="B108" s="855" t="s">
        <v>1402</v>
      </c>
      <c r="C108" s="856"/>
      <c r="D108" s="857" t="s">
        <v>1403</v>
      </c>
      <c r="E108" s="858"/>
      <c r="F108" s="858"/>
      <c r="G108" s="859"/>
      <c r="H108" s="860"/>
      <c r="I108" s="860"/>
      <c r="J108" s="862"/>
    </row>
    <row r="109" spans="2:10" s="820" customFormat="1" ht="24" customHeight="1">
      <c r="B109" s="855" t="s">
        <v>1404</v>
      </c>
      <c r="C109" s="856"/>
      <c r="D109" s="857" t="s">
        <v>1405</v>
      </c>
      <c r="E109" s="858"/>
      <c r="F109" s="858"/>
      <c r="G109" s="859"/>
      <c r="H109" s="860"/>
      <c r="I109" s="860"/>
      <c r="J109" s="863"/>
    </row>
    <row r="110" spans="2:10" s="820" customFormat="1" ht="24" customHeight="1">
      <c r="B110" s="855" t="s">
        <v>721</v>
      </c>
      <c r="C110" s="856"/>
      <c r="D110" s="857" t="s">
        <v>1406</v>
      </c>
      <c r="E110" s="858"/>
      <c r="F110" s="858"/>
      <c r="G110" s="859"/>
      <c r="H110" s="860"/>
      <c r="I110" s="860"/>
      <c r="J110" s="862"/>
    </row>
    <row r="111" spans="1:10" s="312" customFormat="1" ht="24" customHeight="1">
      <c r="A111" s="864"/>
      <c r="B111" s="865" t="s">
        <v>1407</v>
      </c>
      <c r="C111" s="866"/>
      <c r="D111" s="867" t="s">
        <v>1408</v>
      </c>
      <c r="E111" s="868"/>
      <c r="F111" s="868"/>
      <c r="G111" s="866"/>
      <c r="H111" s="866"/>
      <c r="I111" s="866"/>
      <c r="J111" s="869"/>
    </row>
    <row r="112" spans="2:10" s="820" customFormat="1" ht="24" customHeight="1">
      <c r="B112" s="870" t="s">
        <v>1409</v>
      </c>
      <c r="C112" s="827"/>
      <c r="D112" s="871" t="s">
        <v>1410</v>
      </c>
      <c r="E112" s="872"/>
      <c r="F112" s="873"/>
      <c r="G112" s="827"/>
      <c r="H112" s="827"/>
      <c r="I112" s="827"/>
      <c r="J112" s="874"/>
    </row>
    <row r="113" spans="2:10" s="820" customFormat="1" ht="24" customHeight="1">
      <c r="B113" s="835" t="s">
        <v>1411</v>
      </c>
      <c r="C113" s="836"/>
      <c r="D113" s="837"/>
      <c r="E113" s="838"/>
      <c r="F113" s="838"/>
      <c r="G113" s="851"/>
      <c r="H113" s="875"/>
      <c r="I113" s="875"/>
      <c r="J113" s="876"/>
    </row>
    <row r="114" spans="2:10" s="820" customFormat="1" ht="24" customHeight="1">
      <c r="B114" s="826" t="s">
        <v>1412</v>
      </c>
      <c r="C114" s="827"/>
      <c r="D114" s="828" t="s">
        <v>1413</v>
      </c>
      <c r="E114" s="829"/>
      <c r="F114" s="829"/>
      <c r="G114" s="843"/>
      <c r="H114" s="877"/>
      <c r="I114" s="878"/>
      <c r="J114" s="879"/>
    </row>
    <row r="115" spans="2:10" s="820" customFormat="1" ht="24" customHeight="1">
      <c r="B115" s="880"/>
      <c r="C115" s="818"/>
      <c r="D115" s="881" t="s">
        <v>1414</v>
      </c>
      <c r="E115" s="882"/>
      <c r="F115" s="882"/>
      <c r="G115" s="854"/>
      <c r="H115" s="883"/>
      <c r="I115" s="884"/>
      <c r="J115" s="885"/>
    </row>
    <row r="116" spans="2:10" s="820" customFormat="1" ht="24" customHeight="1">
      <c r="B116" s="886"/>
      <c r="C116" s="836"/>
      <c r="D116" s="837" t="s">
        <v>1415</v>
      </c>
      <c r="E116" s="838"/>
      <c r="F116" s="838"/>
      <c r="G116" s="887"/>
      <c r="H116" s="639"/>
      <c r="I116" s="888"/>
      <c r="J116" s="889"/>
    </row>
    <row r="117" spans="2:10" s="820" customFormat="1" ht="24" customHeight="1">
      <c r="B117" s="890" t="s">
        <v>1416</v>
      </c>
      <c r="C117" s="827"/>
      <c r="D117" s="828" t="s">
        <v>1417</v>
      </c>
      <c r="E117" s="829"/>
      <c r="F117" s="829"/>
      <c r="G117" s="891"/>
      <c r="H117" s="892"/>
      <c r="I117" s="893"/>
      <c r="J117" s="894"/>
    </row>
    <row r="118" spans="2:10" s="820" customFormat="1" ht="24" customHeight="1">
      <c r="B118" s="895"/>
      <c r="C118" s="836"/>
      <c r="D118" s="837" t="s">
        <v>1418</v>
      </c>
      <c r="E118" s="838"/>
      <c r="F118" s="838"/>
      <c r="G118" s="887"/>
      <c r="H118" s="896"/>
      <c r="I118" s="897"/>
      <c r="J118" s="898"/>
    </row>
    <row r="119" spans="1:10" s="312" customFormat="1" ht="24" customHeight="1">
      <c r="A119" s="864"/>
      <c r="B119" s="870" t="s">
        <v>1419</v>
      </c>
      <c r="C119" s="899"/>
      <c r="D119" s="900" t="s">
        <v>1420</v>
      </c>
      <c r="E119" s="893"/>
      <c r="F119" s="893"/>
      <c r="G119" s="899"/>
      <c r="H119" s="892"/>
      <c r="I119" s="893"/>
      <c r="J119" s="894"/>
    </row>
    <row r="120" spans="1:10" s="312" customFormat="1" ht="24" customHeight="1">
      <c r="A120" s="864"/>
      <c r="B120" s="901"/>
      <c r="C120" s="902"/>
      <c r="D120" s="903" t="s">
        <v>1421</v>
      </c>
      <c r="E120" s="897"/>
      <c r="F120" s="897"/>
      <c r="G120" s="902"/>
      <c r="H120" s="896"/>
      <c r="I120" s="897"/>
      <c r="J120" s="898"/>
    </row>
    <row r="121" spans="1:10" s="312" customFormat="1" ht="24" customHeight="1">
      <c r="A121" s="864"/>
      <c r="B121" s="870" t="s">
        <v>1422</v>
      </c>
      <c r="C121" s="899"/>
      <c r="D121" s="900" t="s">
        <v>1423</v>
      </c>
      <c r="E121" s="893"/>
      <c r="F121" s="893"/>
      <c r="G121" s="899"/>
      <c r="H121" s="899"/>
      <c r="I121" s="899"/>
      <c r="J121" s="904"/>
    </row>
    <row r="122" spans="1:10" s="312" customFormat="1" ht="24" customHeight="1">
      <c r="A122" s="864"/>
      <c r="B122" s="901"/>
      <c r="C122" s="902"/>
      <c r="D122" s="905" t="s">
        <v>1424</v>
      </c>
      <c r="E122" s="906"/>
      <c r="F122" s="906"/>
      <c r="G122" s="875"/>
      <c r="H122" s="875"/>
      <c r="I122" s="875"/>
      <c r="J122" s="876"/>
    </row>
    <row r="123" spans="1:10" s="312" customFormat="1" ht="24" customHeight="1">
      <c r="A123" s="864"/>
      <c r="B123" s="870" t="s">
        <v>1425</v>
      </c>
      <c r="C123" s="899"/>
      <c r="D123" s="900" t="s">
        <v>1426</v>
      </c>
      <c r="E123" s="893"/>
      <c r="F123" s="893"/>
      <c r="G123" s="899"/>
      <c r="H123" s="899"/>
      <c r="I123" s="899"/>
      <c r="J123" s="904"/>
    </row>
    <row r="124" spans="1:10" s="312" customFormat="1" ht="24" customHeight="1">
      <c r="A124" s="864"/>
      <c r="B124" s="907"/>
      <c r="C124" s="824"/>
      <c r="D124" s="908" t="s">
        <v>1427</v>
      </c>
      <c r="E124" s="909"/>
      <c r="F124" s="909"/>
      <c r="G124" s="824"/>
      <c r="H124" s="824"/>
      <c r="I124" s="824"/>
      <c r="J124" s="910"/>
    </row>
    <row r="125" spans="1:10" s="312" customFormat="1" ht="24" customHeight="1">
      <c r="A125" s="864"/>
      <c r="B125" s="907"/>
      <c r="C125" s="824"/>
      <c r="D125" s="908" t="s">
        <v>1428</v>
      </c>
      <c r="E125" s="909"/>
      <c r="F125" s="909"/>
      <c r="G125" s="824"/>
      <c r="H125" s="824"/>
      <c r="I125" s="824"/>
      <c r="J125" s="910"/>
    </row>
    <row r="126" spans="1:10" s="312" customFormat="1" ht="24" customHeight="1">
      <c r="A126" s="864"/>
      <c r="B126" s="907"/>
      <c r="C126" s="824"/>
      <c r="D126" s="908" t="s">
        <v>1429</v>
      </c>
      <c r="E126" s="909"/>
      <c r="F126" s="909"/>
      <c r="G126" s="824"/>
      <c r="H126" s="824"/>
      <c r="I126" s="824"/>
      <c r="J126" s="910"/>
    </row>
    <row r="127" spans="1:10" s="312" customFormat="1" ht="24" customHeight="1">
      <c r="A127" s="864"/>
      <c r="B127" s="901"/>
      <c r="C127" s="902"/>
      <c r="D127" s="905" t="s">
        <v>1430</v>
      </c>
      <c r="E127" s="906"/>
      <c r="F127" s="906"/>
      <c r="G127" s="875"/>
      <c r="H127" s="875"/>
      <c r="I127" s="875"/>
      <c r="J127" s="876"/>
    </row>
    <row r="128" spans="1:10" s="312" customFormat="1" ht="24" customHeight="1">
      <c r="A128" s="864"/>
      <c r="B128" s="825"/>
      <c r="C128" s="824"/>
      <c r="D128" s="911"/>
      <c r="E128" s="911"/>
      <c r="F128" s="911"/>
      <c r="G128" s="687"/>
      <c r="H128" s="687"/>
      <c r="I128" s="687"/>
      <c r="J128" s="912"/>
    </row>
    <row r="129" spans="1:10" ht="24" customHeight="1">
      <c r="A129" s="12" t="s">
        <v>118</v>
      </c>
      <c r="B129" s="49"/>
      <c r="C129" s="24"/>
      <c r="D129" s="24"/>
      <c r="E129" s="24"/>
      <c r="F129" s="24"/>
      <c r="G129" s="24"/>
      <c r="H129" s="24"/>
      <c r="I129" s="24"/>
      <c r="J129" s="50"/>
    </row>
    <row r="130" spans="1:11" ht="25.5" customHeight="1">
      <c r="A130" s="913" t="s">
        <v>28</v>
      </c>
      <c r="B130" s="913"/>
      <c r="C130" s="913"/>
      <c r="D130" s="913"/>
      <c r="E130" s="913"/>
      <c r="F130" s="913"/>
      <c r="G130" s="913"/>
      <c r="H130" s="913"/>
      <c r="I130" s="913"/>
      <c r="J130" s="913"/>
      <c r="K130" s="914"/>
    </row>
    <row r="131" spans="1:10" s="312" customFormat="1" ht="9" customHeight="1">
      <c r="A131" s="864"/>
      <c r="B131" s="825"/>
      <c r="C131" s="824"/>
      <c r="D131" s="911"/>
      <c r="E131" s="911"/>
      <c r="F131" s="911"/>
      <c r="G131" s="687"/>
      <c r="H131" s="687"/>
      <c r="I131" s="687"/>
      <c r="J131" s="912"/>
    </row>
    <row r="132" spans="1:8" s="128" customFormat="1" ht="23.25">
      <c r="A132" s="429" t="s">
        <v>1443</v>
      </c>
      <c r="B132" s="817"/>
      <c r="C132" s="817"/>
      <c r="D132" s="817"/>
      <c r="E132" s="817"/>
      <c r="F132" s="817"/>
      <c r="G132" s="817"/>
      <c r="H132" s="817"/>
    </row>
    <row r="133" spans="2:9" s="131" customFormat="1" ht="23.25">
      <c r="B133" s="816" t="s">
        <v>1433</v>
      </c>
      <c r="C133" s="915"/>
      <c r="D133" s="915"/>
      <c r="E133" s="915"/>
      <c r="F133" s="916"/>
      <c r="G133" s="915"/>
      <c r="H133" s="915"/>
      <c r="I133" s="915"/>
    </row>
    <row r="134" spans="1:9" s="131" customFormat="1" ht="23.25">
      <c r="A134" s="131" t="s">
        <v>1434</v>
      </c>
      <c r="B134" s="816"/>
      <c r="D134" s="915"/>
      <c r="E134" s="915"/>
      <c r="F134" s="916"/>
      <c r="G134" s="915"/>
      <c r="H134" s="915"/>
      <c r="I134" s="915"/>
    </row>
    <row r="135" spans="1:9" s="131" customFormat="1" ht="23.25">
      <c r="A135" s="131" t="s">
        <v>1435</v>
      </c>
      <c r="B135" s="816"/>
      <c r="D135" s="915"/>
      <c r="E135" s="915"/>
      <c r="F135" s="916"/>
      <c r="G135" s="915"/>
      <c r="H135" s="915"/>
      <c r="I135" s="915"/>
    </row>
    <row r="136" spans="1:9" s="131" customFormat="1" ht="23.25">
      <c r="A136" s="131" t="s">
        <v>1436</v>
      </c>
      <c r="B136" s="816"/>
      <c r="D136" s="915"/>
      <c r="E136" s="915"/>
      <c r="F136" s="916"/>
      <c r="G136" s="915"/>
      <c r="H136" s="915"/>
      <c r="I136" s="915"/>
    </row>
    <row r="137" spans="1:10" s="308" customFormat="1" ht="23.25">
      <c r="A137" s="917"/>
      <c r="B137" s="442"/>
      <c r="C137" s="442"/>
      <c r="D137" s="442"/>
      <c r="E137" s="442"/>
      <c r="F137" s="442"/>
      <c r="G137" s="442"/>
      <c r="H137" s="442"/>
      <c r="J137" s="674" t="s">
        <v>214</v>
      </c>
    </row>
    <row r="138" spans="1:10" s="308" customFormat="1" ht="23.25">
      <c r="A138" s="917"/>
      <c r="B138" s="442"/>
      <c r="C138" s="442"/>
      <c r="D138" s="442"/>
      <c r="E138" s="442"/>
      <c r="F138" s="442"/>
      <c r="G138" s="442"/>
      <c r="I138" s="918"/>
      <c r="J138" s="919" t="s">
        <v>1326</v>
      </c>
    </row>
    <row r="139" spans="1:10" s="308" customFormat="1" ht="23.25">
      <c r="A139" s="917"/>
      <c r="B139" s="442"/>
      <c r="C139" s="442"/>
      <c r="D139" s="442"/>
      <c r="E139" s="442"/>
      <c r="F139" s="442"/>
      <c r="G139" s="442"/>
      <c r="I139" s="918"/>
      <c r="J139" s="920" t="s">
        <v>126</v>
      </c>
    </row>
    <row r="140" spans="1:10" s="308" customFormat="1" ht="23.25">
      <c r="A140" s="917"/>
      <c r="B140" s="442" t="s">
        <v>1437</v>
      </c>
      <c r="C140" s="442"/>
      <c r="D140" s="442"/>
      <c r="E140" s="442"/>
      <c r="F140" s="442"/>
      <c r="G140" s="442"/>
      <c r="H140" s="442"/>
      <c r="J140" s="806">
        <v>3505448000</v>
      </c>
    </row>
    <row r="141" spans="1:10" s="308" customFormat="1" ht="23.25">
      <c r="A141" s="917"/>
      <c r="B141" s="442" t="s">
        <v>1438</v>
      </c>
      <c r="C141" s="442"/>
      <c r="D141" s="442"/>
      <c r="E141" s="442"/>
      <c r="F141" s="442"/>
      <c r="G141" s="442"/>
      <c r="H141" s="442"/>
      <c r="J141" s="806">
        <v>-4462249.76</v>
      </c>
    </row>
    <row r="142" spans="1:10" s="308" customFormat="1" ht="23.25">
      <c r="A142" s="917"/>
      <c r="B142" s="442" t="s">
        <v>1439</v>
      </c>
      <c r="C142" s="442"/>
      <c r="D142" s="442"/>
      <c r="E142" s="442"/>
      <c r="F142" s="442"/>
      <c r="G142" s="442"/>
      <c r="H142" s="442"/>
      <c r="J142" s="921">
        <f>SUM(J140:J141)</f>
        <v>3500985750.24</v>
      </c>
    </row>
    <row r="143" spans="1:10" s="308" customFormat="1" ht="23.25">
      <c r="A143" s="917"/>
      <c r="B143" s="442" t="s">
        <v>1440</v>
      </c>
      <c r="C143" s="442"/>
      <c r="D143" s="442"/>
      <c r="E143" s="442"/>
      <c r="F143" s="442"/>
      <c r="G143" s="442"/>
      <c r="H143" s="442"/>
      <c r="J143" s="806">
        <v>-501536455</v>
      </c>
    </row>
    <row r="144" spans="1:10" s="308" customFormat="1" ht="23.25">
      <c r="A144" s="917"/>
      <c r="B144" s="442" t="s">
        <v>1441</v>
      </c>
      <c r="C144" s="442"/>
      <c r="D144" s="442"/>
      <c r="E144" s="442"/>
      <c r="F144" s="442"/>
      <c r="G144" s="442"/>
      <c r="H144" s="442"/>
      <c r="J144" s="806">
        <v>317265.47</v>
      </c>
    </row>
    <row r="145" spans="1:10" s="308" customFormat="1" ht="24" thickBot="1">
      <c r="A145" s="917"/>
      <c r="B145" s="922" t="s">
        <v>1442</v>
      </c>
      <c r="C145" s="442"/>
      <c r="D145" s="442"/>
      <c r="E145" s="442"/>
      <c r="F145" s="442"/>
      <c r="G145" s="442"/>
      <c r="H145" s="442"/>
      <c r="J145" s="923">
        <f>SUM(J142:J144)</f>
        <v>2999766560.7099996</v>
      </c>
    </row>
    <row r="146" spans="1:10" s="308" customFormat="1" ht="5.25" customHeight="1" thickTop="1">
      <c r="A146" s="917"/>
      <c r="B146" s="922"/>
      <c r="C146" s="442"/>
      <c r="D146" s="442"/>
      <c r="E146" s="442"/>
      <c r="F146" s="442"/>
      <c r="G146" s="442"/>
      <c r="H146" s="442"/>
      <c r="J146" s="806"/>
    </row>
    <row r="147" spans="1:9" s="2" customFormat="1" ht="23.25">
      <c r="A147" s="29" t="s">
        <v>1432</v>
      </c>
      <c r="F147" s="3"/>
      <c r="H147" s="3"/>
      <c r="I147" s="3"/>
    </row>
    <row r="148" spans="1:9" s="2" customFormat="1" ht="23.25">
      <c r="A148" s="11" t="s">
        <v>369</v>
      </c>
      <c r="B148" s="2" t="s">
        <v>1382</v>
      </c>
      <c r="F148" s="3"/>
      <c r="H148" s="3"/>
      <c r="I148" s="3"/>
    </row>
    <row r="149" spans="1:9" s="2" customFormat="1" ht="23.25">
      <c r="A149" s="11" t="s">
        <v>1739</v>
      </c>
      <c r="F149" s="3"/>
      <c r="H149" s="3"/>
      <c r="I149" s="3"/>
    </row>
    <row r="150" spans="1:9" s="2" customFormat="1" ht="8.25" customHeight="1">
      <c r="A150" s="11"/>
      <c r="F150" s="3"/>
      <c r="H150" s="3"/>
      <c r="I150" s="3"/>
    </row>
    <row r="151" spans="1:8" s="1" customFormat="1" ht="23.25">
      <c r="A151" s="429" t="s">
        <v>1444</v>
      </c>
      <c r="B151" s="4"/>
      <c r="C151" s="4"/>
      <c r="D151" s="4"/>
      <c r="E151" s="4"/>
      <c r="F151" s="4"/>
      <c r="G151" s="4"/>
      <c r="H151" s="4"/>
    </row>
    <row r="152" spans="2:10" s="1" customFormat="1" ht="23.25">
      <c r="B152" s="51" t="s">
        <v>390</v>
      </c>
      <c r="C152" s="37"/>
      <c r="D152" s="37"/>
      <c r="E152" s="37"/>
      <c r="F152" s="116"/>
      <c r="G152" s="37"/>
      <c r="H152" s="37"/>
      <c r="I152" s="37"/>
      <c r="J152" s="116"/>
    </row>
    <row r="153" spans="1:10" s="1" customFormat="1" ht="23.25">
      <c r="A153" s="37" t="s">
        <v>391</v>
      </c>
      <c r="B153" s="37"/>
      <c r="C153" s="37"/>
      <c r="D153" s="37"/>
      <c r="E153" s="37"/>
      <c r="F153" s="116"/>
      <c r="G153" s="37"/>
      <c r="H153" s="37"/>
      <c r="I153" s="37"/>
      <c r="J153" s="116"/>
    </row>
    <row r="154" spans="2:10" s="1" customFormat="1" ht="23.25">
      <c r="B154" s="51" t="s">
        <v>1445</v>
      </c>
      <c r="C154" s="37"/>
      <c r="D154" s="37"/>
      <c r="E154" s="37"/>
      <c r="F154" s="116"/>
      <c r="G154" s="37"/>
      <c r="H154" s="37"/>
      <c r="I154" s="37"/>
      <c r="J154" s="116"/>
    </row>
    <row r="155" spans="2:10" s="1" customFormat="1" ht="23.25">
      <c r="B155" s="816"/>
      <c r="C155" s="816"/>
      <c r="D155" s="128"/>
      <c r="E155" s="128"/>
      <c r="F155" s="128"/>
      <c r="G155" s="134"/>
      <c r="H155" s="924"/>
      <c r="I155" s="131"/>
      <c r="J155" s="925" t="s">
        <v>214</v>
      </c>
    </row>
    <row r="156" spans="2:11" s="1" customFormat="1" ht="23.25">
      <c r="B156" s="816"/>
      <c r="C156" s="816"/>
      <c r="D156" s="128"/>
      <c r="E156" s="128"/>
      <c r="F156" s="128"/>
      <c r="G156" s="429"/>
      <c r="H156" s="853" t="s">
        <v>541</v>
      </c>
      <c r="I156" s="528"/>
      <c r="J156" s="853" t="s">
        <v>126</v>
      </c>
      <c r="K156" s="10"/>
    </row>
    <row r="157" spans="2:11" s="1" customFormat="1" ht="23.25">
      <c r="B157" s="816" t="s">
        <v>1446</v>
      </c>
      <c r="C157" s="816"/>
      <c r="D157" s="128"/>
      <c r="E157" s="128"/>
      <c r="F157" s="128"/>
      <c r="G157" s="820"/>
      <c r="H157" s="353">
        <v>56488351.17</v>
      </c>
      <c r="I157" s="353"/>
      <c r="J157" s="353">
        <v>56488351.17</v>
      </c>
      <c r="K157" s="10"/>
    </row>
    <row r="158" spans="2:10" s="11" customFormat="1" ht="23.25">
      <c r="B158" s="816" t="s">
        <v>625</v>
      </c>
      <c r="C158" s="816"/>
      <c r="D158" s="128"/>
      <c r="E158" s="128"/>
      <c r="F158" s="128"/>
      <c r="G158" s="128"/>
      <c r="H158" s="353">
        <f>6614740+1064635.43</f>
        <v>7679375.43</v>
      </c>
      <c r="I158" s="353"/>
      <c r="J158" s="353">
        <f>4855175+1064635.43</f>
        <v>5919810.43</v>
      </c>
    </row>
    <row r="159" spans="2:10" s="1" customFormat="1" ht="23.25">
      <c r="B159" s="816" t="s">
        <v>1447</v>
      </c>
      <c r="C159" s="816"/>
      <c r="D159" s="128"/>
      <c r="E159" s="128"/>
      <c r="F159" s="128"/>
      <c r="G159" s="128"/>
      <c r="H159" s="353">
        <v>27578670</v>
      </c>
      <c r="I159" s="353"/>
      <c r="J159" s="353">
        <v>0</v>
      </c>
    </row>
    <row r="160" spans="2:10" s="1" customFormat="1" ht="23.25">
      <c r="B160" s="816" t="s">
        <v>496</v>
      </c>
      <c r="C160" s="816"/>
      <c r="D160" s="128"/>
      <c r="E160" s="128"/>
      <c r="F160" s="128"/>
      <c r="G160" s="128"/>
      <c r="H160" s="353">
        <v>-9136485.31</v>
      </c>
      <c r="I160" s="353"/>
      <c r="J160" s="353">
        <v>-8786485.31</v>
      </c>
    </row>
    <row r="161" spans="2:10" s="1" customFormat="1" ht="23.25">
      <c r="B161" s="816" t="s">
        <v>1448</v>
      </c>
      <c r="C161" s="816"/>
      <c r="D161" s="128"/>
      <c r="E161" s="128"/>
      <c r="F161" s="128"/>
      <c r="G161" s="128"/>
      <c r="H161" s="353">
        <v>12362704.85</v>
      </c>
      <c r="I161" s="353"/>
      <c r="J161" s="353">
        <v>24327044</v>
      </c>
    </row>
    <row r="162" spans="2:10" s="1" customFormat="1" ht="24" thickBot="1">
      <c r="B162" s="926" t="s">
        <v>1449</v>
      </c>
      <c r="C162" s="816"/>
      <c r="D162" s="128"/>
      <c r="E162" s="128"/>
      <c r="F162" s="128"/>
      <c r="G162" s="128"/>
      <c r="H162" s="354">
        <f>SUM(H157:H161)</f>
        <v>94972616.13999999</v>
      </c>
      <c r="I162" s="353"/>
      <c r="J162" s="354">
        <f>SUM(J157:J161)</f>
        <v>77948720.28999999</v>
      </c>
    </row>
    <row r="163" spans="2:9" s="1" customFormat="1" ht="4.5" customHeight="1" thickTop="1">
      <c r="B163" s="113"/>
      <c r="H163" s="114"/>
      <c r="I163" s="37"/>
    </row>
    <row r="164" spans="2:11" s="128" customFormat="1" ht="23.25">
      <c r="B164" s="228" t="s">
        <v>1450</v>
      </c>
      <c r="C164" s="816"/>
      <c r="D164" s="816"/>
      <c r="E164" s="816"/>
      <c r="F164" s="927"/>
      <c r="G164" s="816"/>
      <c r="H164" s="816"/>
      <c r="I164" s="816"/>
      <c r="J164" s="927"/>
      <c r="K164" s="816"/>
    </row>
    <row r="165" spans="2:11" s="128" customFormat="1" ht="23.25">
      <c r="B165" s="816"/>
      <c r="C165" s="816"/>
      <c r="G165" s="134"/>
      <c r="H165" s="684"/>
      <c r="I165" s="684"/>
      <c r="J165" s="674" t="s">
        <v>214</v>
      </c>
      <c r="K165" s="834"/>
    </row>
    <row r="166" spans="2:11" s="128" customFormat="1" ht="23.25">
      <c r="B166" s="816"/>
      <c r="C166" s="816"/>
      <c r="G166" s="429"/>
      <c r="H166" s="884"/>
      <c r="I166" s="928"/>
      <c r="J166" s="884" t="s">
        <v>1171</v>
      </c>
      <c r="K166" s="528"/>
    </row>
    <row r="167" spans="2:11" s="128" customFormat="1" ht="23.25">
      <c r="B167" s="816"/>
      <c r="C167" s="816"/>
      <c r="G167" s="429"/>
      <c r="H167" s="884" t="s">
        <v>541</v>
      </c>
      <c r="I167" s="928"/>
      <c r="J167" s="884" t="s">
        <v>1172</v>
      </c>
      <c r="K167" s="528"/>
    </row>
    <row r="168" spans="2:11" s="128" customFormat="1" ht="23.25">
      <c r="B168" s="816"/>
      <c r="C168" s="816"/>
      <c r="G168" s="429"/>
      <c r="H168" s="929"/>
      <c r="I168" s="928"/>
      <c r="J168" s="929" t="s">
        <v>1173</v>
      </c>
      <c r="K168" s="528"/>
    </row>
    <row r="169" spans="3:10" s="128" customFormat="1" ht="18.75" customHeight="1">
      <c r="C169" s="816"/>
      <c r="G169" s="820"/>
      <c r="H169" s="1124" t="s">
        <v>1340</v>
      </c>
      <c r="I169" s="624"/>
      <c r="J169" s="1124" t="s">
        <v>1341</v>
      </c>
    </row>
    <row r="170" spans="2:10" s="128" customFormat="1" ht="23.25">
      <c r="B170" s="330" t="s">
        <v>1451</v>
      </c>
      <c r="C170" s="816"/>
      <c r="H170" s="353">
        <v>3863141.87</v>
      </c>
      <c r="I170" s="353"/>
      <c r="J170" s="353">
        <v>5985953</v>
      </c>
    </row>
    <row r="171" spans="2:10" s="128" customFormat="1" ht="23.25">
      <c r="B171" s="330" t="s">
        <v>1452</v>
      </c>
      <c r="C171" s="816"/>
      <c r="H171" s="353">
        <v>91109474.27</v>
      </c>
      <c r="I171" s="353"/>
      <c r="J171" s="353">
        <v>50502398.17</v>
      </c>
    </row>
    <row r="172" spans="1:10" s="131" customFormat="1" ht="24" thickBot="1">
      <c r="A172" s="133"/>
      <c r="B172" s="228" t="s">
        <v>324</v>
      </c>
      <c r="C172" s="824"/>
      <c r="D172" s="824"/>
      <c r="E172" s="824"/>
      <c r="F172" s="824"/>
      <c r="G172" s="824"/>
      <c r="H172" s="354">
        <f>SUM(H170:H171)</f>
        <v>94972616.14</v>
      </c>
      <c r="I172" s="353"/>
      <c r="J172" s="354">
        <f>SUM(J170:J171)</f>
        <v>56488351.17</v>
      </c>
    </row>
    <row r="173" spans="2:9" s="1" customFormat="1" ht="24" customHeight="1" thickTop="1">
      <c r="B173" s="113"/>
      <c r="H173" s="114"/>
      <c r="I173" s="37"/>
    </row>
    <row r="174" spans="1:10" ht="24" customHeight="1">
      <c r="A174" s="12" t="s">
        <v>118</v>
      </c>
      <c r="B174" s="49"/>
      <c r="C174" s="24"/>
      <c r="D174" s="24"/>
      <c r="E174" s="24"/>
      <c r="F174" s="24"/>
      <c r="G174" s="24"/>
      <c r="H174" s="24"/>
      <c r="I174" s="24"/>
      <c r="J174" s="50"/>
    </row>
    <row r="175" spans="1:11" ht="25.5" customHeight="1">
      <c r="A175" s="913" t="s">
        <v>810</v>
      </c>
      <c r="B175" s="913"/>
      <c r="C175" s="913"/>
      <c r="D175" s="913"/>
      <c r="E175" s="913"/>
      <c r="F175" s="913"/>
      <c r="G175" s="913"/>
      <c r="H175" s="913"/>
      <c r="I175" s="913"/>
      <c r="J175" s="913"/>
      <c r="K175" s="914"/>
    </row>
    <row r="176" ht="17.25"/>
    <row r="177" spans="1:8" s="1" customFormat="1" ht="23.25">
      <c r="A177" s="429" t="s">
        <v>1455</v>
      </c>
      <c r="B177" s="4"/>
      <c r="C177" s="4"/>
      <c r="D177" s="4"/>
      <c r="E177" s="4"/>
      <c r="F177" s="4"/>
      <c r="G177" s="4"/>
      <c r="H177" s="4"/>
    </row>
    <row r="178" spans="1:10" s="131" customFormat="1" ht="12" customHeight="1">
      <c r="A178" s="133"/>
      <c r="B178" s="228"/>
      <c r="C178" s="824"/>
      <c r="D178" s="824"/>
      <c r="E178" s="824"/>
      <c r="F178" s="824"/>
      <c r="G178" s="824"/>
      <c r="H178" s="353"/>
      <c r="I178" s="353"/>
      <c r="J178" s="353"/>
    </row>
    <row r="179" spans="2:11" s="128" customFormat="1" ht="23.25">
      <c r="B179" s="228" t="s">
        <v>1450</v>
      </c>
      <c r="C179" s="816"/>
      <c r="D179" s="816"/>
      <c r="E179" s="816"/>
      <c r="F179" s="927"/>
      <c r="G179" s="816"/>
      <c r="H179" s="816"/>
      <c r="I179" s="816"/>
      <c r="J179" s="927"/>
      <c r="K179" s="816"/>
    </row>
    <row r="180" spans="2:11" s="128" customFormat="1" ht="23.25">
      <c r="B180" s="816"/>
      <c r="C180" s="816"/>
      <c r="G180" s="134"/>
      <c r="H180" s="684"/>
      <c r="I180" s="684"/>
      <c r="J180" s="674" t="s">
        <v>214</v>
      </c>
      <c r="K180" s="834"/>
    </row>
    <row r="181" spans="2:11" s="128" customFormat="1" ht="23.25">
      <c r="B181" s="816"/>
      <c r="C181" s="816"/>
      <c r="G181" s="429"/>
      <c r="H181" s="544" t="s">
        <v>126</v>
      </c>
      <c r="I181" s="930"/>
      <c r="J181" s="544"/>
      <c r="K181" s="528"/>
    </row>
    <row r="182" spans="3:10" s="128" customFormat="1" ht="23.25">
      <c r="C182" s="816"/>
      <c r="G182" s="820"/>
      <c r="H182" s="1124" t="s">
        <v>1340</v>
      </c>
      <c r="I182" s="624"/>
      <c r="J182" s="1124" t="s">
        <v>1341</v>
      </c>
    </row>
    <row r="183" spans="2:10" s="128" customFormat="1" ht="23.25">
      <c r="B183" s="330" t="s">
        <v>1451</v>
      </c>
      <c r="C183" s="816"/>
      <c r="H183" s="353">
        <v>0</v>
      </c>
      <c r="I183" s="353"/>
      <c r="J183" s="353">
        <v>5985953</v>
      </c>
    </row>
    <row r="184" spans="2:10" s="128" customFormat="1" ht="23.25">
      <c r="B184" s="330" t="s">
        <v>1452</v>
      </c>
      <c r="C184" s="816"/>
      <c r="H184" s="353">
        <v>77948720.29</v>
      </c>
      <c r="I184" s="353"/>
      <c r="J184" s="353">
        <v>50502398.17</v>
      </c>
    </row>
    <row r="185" spans="1:10" s="131" customFormat="1" ht="24" thickBot="1">
      <c r="A185" s="133"/>
      <c r="B185" s="228" t="s">
        <v>324</v>
      </c>
      <c r="C185" s="824"/>
      <c r="D185" s="824"/>
      <c r="E185" s="824"/>
      <c r="F185" s="824"/>
      <c r="G185" s="824"/>
      <c r="H185" s="354">
        <f>SUM(H183:H184)</f>
        <v>77948720.29</v>
      </c>
      <c r="I185" s="353"/>
      <c r="J185" s="354">
        <f>SUM(J183:J184)</f>
        <v>56488351.17</v>
      </c>
    </row>
    <row r="186" spans="1:10" s="131" customFormat="1" ht="24" thickTop="1">
      <c r="A186" s="133"/>
      <c r="B186" s="228"/>
      <c r="C186" s="824"/>
      <c r="D186" s="824"/>
      <c r="E186" s="824"/>
      <c r="F186" s="824"/>
      <c r="G186" s="824"/>
      <c r="H186" s="353"/>
      <c r="I186" s="353"/>
      <c r="J186" s="353"/>
    </row>
    <row r="187" spans="1:10" s="131" customFormat="1" ht="23.25">
      <c r="A187" s="133"/>
      <c r="B187" s="228" t="s">
        <v>1453</v>
      </c>
      <c r="C187" s="824"/>
      <c r="D187" s="824"/>
      <c r="E187" s="824"/>
      <c r="F187" s="824"/>
      <c r="G187" s="824"/>
      <c r="H187" s="824"/>
      <c r="I187" s="824"/>
      <c r="J187" s="824"/>
    </row>
    <row r="188" spans="1:11" s="128" customFormat="1" ht="23.25">
      <c r="A188" s="816" t="s">
        <v>1456</v>
      </c>
      <c r="B188" s="816"/>
      <c r="C188" s="816"/>
      <c r="D188" s="816"/>
      <c r="E188" s="816"/>
      <c r="F188" s="927"/>
      <c r="G188" s="816"/>
      <c r="H188" s="816"/>
      <c r="I188" s="816"/>
      <c r="J188" s="927"/>
      <c r="K188" s="816"/>
    </row>
    <row r="189" spans="1:10" s="131" customFormat="1" ht="23.25">
      <c r="A189" s="133"/>
      <c r="B189" s="228"/>
      <c r="C189" s="824"/>
      <c r="D189" s="684"/>
      <c r="E189" s="684"/>
      <c r="F189" s="684"/>
      <c r="G189" s="684"/>
      <c r="H189" s="684"/>
      <c r="I189" s="684"/>
      <c r="J189" s="674" t="s">
        <v>214</v>
      </c>
    </row>
    <row r="190" spans="1:10" s="131" customFormat="1" ht="23.25">
      <c r="A190" s="133"/>
      <c r="B190" s="466"/>
      <c r="C190" s="445"/>
      <c r="D190" s="512"/>
      <c r="E190" s="476"/>
      <c r="F190" s="884" t="s">
        <v>1171</v>
      </c>
      <c r="G190" s="476"/>
      <c r="H190" s="931"/>
      <c r="I190" s="931"/>
      <c r="J190" s="931"/>
    </row>
    <row r="191" spans="1:10" s="131" customFormat="1" ht="23.25">
      <c r="A191" s="133"/>
      <c r="B191" s="466"/>
      <c r="C191" s="445"/>
      <c r="D191" s="512" t="s">
        <v>541</v>
      </c>
      <c r="E191" s="476"/>
      <c r="F191" s="884" t="s">
        <v>1172</v>
      </c>
      <c r="G191" s="476"/>
      <c r="H191" s="931" t="s">
        <v>126</v>
      </c>
      <c r="I191" s="934"/>
      <c r="J191" s="935"/>
    </row>
    <row r="192" spans="1:10" s="131" customFormat="1" ht="23.25">
      <c r="A192" s="133"/>
      <c r="B192" s="466"/>
      <c r="C192" s="445"/>
      <c r="D192" s="932"/>
      <c r="E192" s="932"/>
      <c r="F192" s="929" t="s">
        <v>1173</v>
      </c>
      <c r="G192" s="933"/>
      <c r="H192" s="932"/>
      <c r="I192" s="932"/>
      <c r="J192" s="932"/>
    </row>
    <row r="193" spans="3:10" s="128" customFormat="1" ht="23.25">
      <c r="C193" s="816"/>
      <c r="D193" s="1124" t="s">
        <v>898</v>
      </c>
      <c r="E193" s="624"/>
      <c r="F193" s="1124" t="s">
        <v>747</v>
      </c>
      <c r="G193" s="1125"/>
      <c r="H193" s="1124" t="s">
        <v>898</v>
      </c>
      <c r="I193" s="624"/>
      <c r="J193" s="1124" t="s">
        <v>747</v>
      </c>
    </row>
    <row r="194" spans="1:10" s="131" customFormat="1" ht="23.25">
      <c r="A194" s="133"/>
      <c r="B194" s="228" t="s">
        <v>392</v>
      </c>
      <c r="C194" s="824"/>
      <c r="D194" s="353">
        <v>5575887.77</v>
      </c>
      <c r="E194" s="909"/>
      <c r="F194" s="373">
        <v>3073554</v>
      </c>
      <c r="G194" s="909"/>
      <c r="H194" s="353">
        <f>3219145+1064635.43</f>
        <v>4283780.43</v>
      </c>
      <c r="I194" s="909"/>
      <c r="J194" s="373">
        <v>3073554</v>
      </c>
    </row>
    <row r="195" spans="1:10" s="131" customFormat="1" ht="23.25">
      <c r="A195" s="133"/>
      <c r="B195" s="228" t="s">
        <v>393</v>
      </c>
      <c r="C195" s="824"/>
      <c r="D195" s="353">
        <v>2103487.66</v>
      </c>
      <c r="E195" s="909"/>
      <c r="F195" s="373">
        <v>1482277</v>
      </c>
      <c r="G195" s="909"/>
      <c r="H195" s="353">
        <v>1636030</v>
      </c>
      <c r="I195" s="909"/>
      <c r="J195" s="373">
        <v>1482277</v>
      </c>
    </row>
    <row r="196" spans="1:10" s="131" customFormat="1" ht="24" thickBot="1">
      <c r="A196" s="133"/>
      <c r="B196" s="228" t="s">
        <v>394</v>
      </c>
      <c r="C196" s="824"/>
      <c r="D196" s="354">
        <f>SUM(D194:D195)</f>
        <v>7679375.43</v>
      </c>
      <c r="F196" s="354">
        <f>SUM(F194:F195)</f>
        <v>4555831</v>
      </c>
      <c r="G196" s="909"/>
      <c r="H196" s="354">
        <f>SUM(H194:H195)</f>
        <v>5919810.43</v>
      </c>
      <c r="I196" s="909"/>
      <c r="J196" s="354">
        <f>SUM(J194:J195)</f>
        <v>4555831</v>
      </c>
    </row>
    <row r="197" spans="1:10" s="131" customFormat="1" ht="24" thickTop="1">
      <c r="A197" s="133"/>
      <c r="B197" s="228"/>
      <c r="C197" s="824"/>
      <c r="D197" s="824"/>
      <c r="E197" s="824"/>
      <c r="F197" s="824"/>
      <c r="G197" s="824"/>
      <c r="H197" s="353"/>
      <c r="I197" s="353"/>
      <c r="J197" s="353"/>
    </row>
    <row r="198" spans="2:11" s="128" customFormat="1" ht="23.25">
      <c r="B198" s="228" t="s">
        <v>428</v>
      </c>
      <c r="C198" s="816"/>
      <c r="G198" s="816"/>
      <c r="H198" s="816"/>
      <c r="I198" s="936"/>
      <c r="K198" s="816"/>
    </row>
    <row r="199" spans="1:11" s="128" customFormat="1" ht="23.25">
      <c r="A199" s="228"/>
      <c r="B199" s="816"/>
      <c r="C199" s="816"/>
      <c r="G199" s="816"/>
      <c r="H199" s="937" t="s">
        <v>541</v>
      </c>
      <c r="I199" s="936"/>
      <c r="J199" s="937" t="s">
        <v>126</v>
      </c>
      <c r="K199" s="816"/>
    </row>
    <row r="200" spans="1:10" s="128" customFormat="1" ht="23.25">
      <c r="A200" s="816"/>
      <c r="B200" s="926"/>
      <c r="C200" s="816"/>
      <c r="G200" s="816"/>
      <c r="H200" s="938" t="s">
        <v>285</v>
      </c>
      <c r="I200" s="816"/>
      <c r="J200" s="938" t="s">
        <v>285</v>
      </c>
    </row>
    <row r="201" spans="1:10" s="128" customFormat="1" ht="23.25">
      <c r="A201" s="816"/>
      <c r="B201" s="816" t="s">
        <v>626</v>
      </c>
      <c r="C201" s="816"/>
      <c r="G201" s="816"/>
      <c r="H201" s="939" t="s">
        <v>1457</v>
      </c>
      <c r="I201" s="816"/>
      <c r="J201" s="940">
        <v>2.46</v>
      </c>
    </row>
    <row r="202" spans="1:10" s="128" customFormat="1" ht="23.25">
      <c r="A202" s="816"/>
      <c r="B202" s="816" t="s">
        <v>627</v>
      </c>
      <c r="C202" s="816"/>
      <c r="G202" s="816"/>
      <c r="H202" s="940">
        <v>5</v>
      </c>
      <c r="I202" s="816"/>
      <c r="J202" s="940">
        <v>5</v>
      </c>
    </row>
    <row r="203" spans="1:10" s="128" customFormat="1" ht="23.25">
      <c r="A203" s="816"/>
      <c r="B203" s="816" t="s">
        <v>628</v>
      </c>
      <c r="C203" s="816"/>
      <c r="G203" s="816"/>
      <c r="H203" s="939" t="s">
        <v>1458</v>
      </c>
      <c r="I203" s="816"/>
      <c r="J203" s="940" t="s">
        <v>1458</v>
      </c>
    </row>
    <row r="204" spans="1:10" s="128" customFormat="1" ht="23.25">
      <c r="A204" s="816"/>
      <c r="B204" s="816" t="s">
        <v>535</v>
      </c>
      <c r="C204" s="816"/>
      <c r="G204" s="816"/>
      <c r="H204" s="940" t="s">
        <v>1459</v>
      </c>
      <c r="I204" s="816"/>
      <c r="J204" s="940" t="s">
        <v>1459</v>
      </c>
    </row>
    <row r="205" spans="1:10" s="131" customFormat="1" ht="23.25">
      <c r="A205" s="134"/>
      <c r="B205" s="941" t="s">
        <v>632</v>
      </c>
      <c r="C205" s="941"/>
      <c r="D205" s="941"/>
      <c r="E205" s="941"/>
      <c r="F205" s="804"/>
      <c r="H205" s="942"/>
      <c r="J205" s="312"/>
    </row>
    <row r="206" spans="1:10" s="134" customFormat="1" ht="23.25">
      <c r="A206" s="309"/>
      <c r="B206" s="941" t="s">
        <v>1734</v>
      </c>
      <c r="C206" s="309"/>
      <c r="D206" s="309"/>
      <c r="E206" s="309"/>
      <c r="F206" s="309"/>
      <c r="G206" s="309"/>
      <c r="H206" s="309"/>
      <c r="I206" s="309"/>
      <c r="J206" s="846"/>
    </row>
    <row r="207" spans="1:10" s="131" customFormat="1" ht="23.25">
      <c r="A207" s="133"/>
      <c r="B207" s="228"/>
      <c r="C207" s="824"/>
      <c r="D207" s="824"/>
      <c r="E207" s="824"/>
      <c r="F207" s="824"/>
      <c r="G207" s="824"/>
      <c r="H207" s="353"/>
      <c r="I207" s="353"/>
      <c r="J207" s="353"/>
    </row>
    <row r="208" spans="1:10" s="134" customFormat="1" ht="23.25">
      <c r="A208" s="36"/>
      <c r="B208" s="943" t="s">
        <v>80</v>
      </c>
      <c r="C208" s="944"/>
      <c r="D208" s="944"/>
      <c r="E208" s="944"/>
      <c r="F208" s="945"/>
      <c r="G208" s="55"/>
      <c r="H208" s="946"/>
      <c r="I208" s="55"/>
      <c r="J208" s="946"/>
    </row>
    <row r="209" spans="1:10" s="134" customFormat="1" ht="23.25">
      <c r="A209" s="36"/>
      <c r="B209" s="51" t="s">
        <v>1460</v>
      </c>
      <c r="C209" s="944"/>
      <c r="D209" s="944"/>
      <c r="E209" s="944"/>
      <c r="F209" s="945"/>
      <c r="G209" s="55"/>
      <c r="H209" s="946"/>
      <c r="I209" s="55"/>
      <c r="J209" s="946"/>
    </row>
    <row r="210" spans="1:10" s="134" customFormat="1" ht="23.25">
      <c r="A210" s="36" t="s">
        <v>1461</v>
      </c>
      <c r="B210" s="944"/>
      <c r="C210" s="944"/>
      <c r="D210" s="944"/>
      <c r="E210" s="944"/>
      <c r="F210" s="945"/>
      <c r="G210" s="55"/>
      <c r="H210" s="946"/>
      <c r="I210" s="55"/>
      <c r="J210" s="946"/>
    </row>
    <row r="211" spans="1:10" s="134" customFormat="1" ht="23.25">
      <c r="A211" s="36" t="s">
        <v>1462</v>
      </c>
      <c r="B211" s="944"/>
      <c r="C211" s="944"/>
      <c r="D211" s="944"/>
      <c r="E211" s="944"/>
      <c r="F211" s="945"/>
      <c r="G211" s="55"/>
      <c r="H211" s="946"/>
      <c r="I211" s="55"/>
      <c r="J211" s="946"/>
    </row>
    <row r="212" spans="1:10" s="134" customFormat="1" ht="23.25">
      <c r="A212" s="36"/>
      <c r="B212" s="944"/>
      <c r="C212" s="944"/>
      <c r="D212" s="944"/>
      <c r="E212" s="944"/>
      <c r="F212" s="945"/>
      <c r="G212" s="55"/>
      <c r="H212" s="946"/>
      <c r="I212" s="55"/>
      <c r="J212" s="946"/>
    </row>
    <row r="213" spans="1:10" s="134" customFormat="1" ht="23.25">
      <c r="A213" s="36"/>
      <c r="B213" s="944"/>
      <c r="C213" s="944"/>
      <c r="D213" s="944"/>
      <c r="E213" s="944"/>
      <c r="F213" s="945"/>
      <c r="G213" s="55"/>
      <c r="H213" s="946"/>
      <c r="I213" s="55"/>
      <c r="J213" s="946"/>
    </row>
    <row r="214" spans="1:10" ht="24" customHeight="1">
      <c r="A214" s="12" t="s">
        <v>118</v>
      </c>
      <c r="B214" s="49"/>
      <c r="C214" s="24"/>
      <c r="D214" s="24"/>
      <c r="E214" s="24"/>
      <c r="F214" s="24"/>
      <c r="G214" s="24"/>
      <c r="H214" s="24"/>
      <c r="I214" s="24"/>
      <c r="J214" s="50"/>
    </row>
    <row r="215" spans="1:11" ht="25.5" customHeight="1">
      <c r="A215" s="913" t="s">
        <v>1632</v>
      </c>
      <c r="B215" s="913"/>
      <c r="C215" s="913"/>
      <c r="D215" s="913"/>
      <c r="E215" s="913"/>
      <c r="F215" s="913"/>
      <c r="G215" s="913"/>
      <c r="H215" s="913"/>
      <c r="I215" s="913"/>
      <c r="J215" s="913"/>
      <c r="K215" s="914"/>
    </row>
    <row r="216" spans="1:8" s="1" customFormat="1" ht="5.25" customHeight="1">
      <c r="A216" s="131"/>
      <c r="B216" s="4"/>
      <c r="C216" s="4"/>
      <c r="D216" s="4"/>
      <c r="E216" s="4"/>
      <c r="F216" s="4"/>
      <c r="G216" s="4"/>
      <c r="H216" s="4"/>
    </row>
    <row r="217" spans="1:8" s="1" customFormat="1" ht="24" customHeight="1">
      <c r="A217" s="429" t="s">
        <v>1455</v>
      </c>
      <c r="B217" s="4"/>
      <c r="C217" s="4"/>
      <c r="D217" s="4"/>
      <c r="E217" s="4"/>
      <c r="F217" s="4"/>
      <c r="G217" s="4"/>
      <c r="H217" s="4"/>
    </row>
    <row r="218" spans="1:10" s="134" customFormat="1" ht="23.25">
      <c r="A218" s="36"/>
      <c r="B218" s="943"/>
      <c r="C218" s="944"/>
      <c r="D218" s="944"/>
      <c r="E218" s="944"/>
      <c r="F218" s="945"/>
      <c r="G218" s="55"/>
      <c r="H218" s="946"/>
      <c r="I218" s="55"/>
      <c r="J218" s="946"/>
    </row>
    <row r="219" spans="1:10" s="134" customFormat="1" ht="23.25">
      <c r="A219" s="36"/>
      <c r="B219" s="113"/>
      <c r="C219" s="47"/>
      <c r="D219" s="47"/>
      <c r="E219" s="47"/>
      <c r="F219" s="47"/>
      <c r="G219" s="47"/>
      <c r="H219" s="47"/>
      <c r="I219" s="947"/>
      <c r="J219" s="948" t="s">
        <v>214</v>
      </c>
    </row>
    <row r="220" spans="1:10" s="134" customFormat="1" ht="23.25">
      <c r="A220" s="36"/>
      <c r="B220" s="47"/>
      <c r="C220" s="37"/>
      <c r="D220" s="47"/>
      <c r="E220" s="47"/>
      <c r="F220" s="47"/>
      <c r="G220" s="949"/>
      <c r="H220" s="1123" t="s">
        <v>541</v>
      </c>
      <c r="I220" s="950"/>
      <c r="J220" s="1123" t="s">
        <v>126</v>
      </c>
    </row>
    <row r="221" spans="1:10" s="134" customFormat="1" ht="24" customHeight="1">
      <c r="A221" s="36"/>
      <c r="B221" s="113" t="s">
        <v>1449</v>
      </c>
      <c r="C221" s="47"/>
      <c r="D221" s="47"/>
      <c r="E221" s="47"/>
      <c r="F221" s="47"/>
      <c r="G221" s="47"/>
      <c r="H221" s="951"/>
      <c r="I221" s="952"/>
      <c r="J221" s="951"/>
    </row>
    <row r="222" spans="1:10" s="134" customFormat="1" ht="23.25">
      <c r="A222" s="36"/>
      <c r="B222" s="330" t="s">
        <v>1851</v>
      </c>
      <c r="C222" s="47"/>
      <c r="D222" s="47"/>
      <c r="E222" s="47"/>
      <c r="F222" s="47"/>
      <c r="G222" s="47"/>
      <c r="H222" s="370">
        <f>-4013479-591512</f>
        <v>-4604991</v>
      </c>
      <c r="I222" s="1128"/>
      <c r="J222" s="370">
        <v>-4013479</v>
      </c>
    </row>
    <row r="223" spans="1:10" s="134" customFormat="1" ht="23.25">
      <c r="A223" s="36"/>
      <c r="B223" s="330" t="s">
        <v>1852</v>
      </c>
      <c r="C223" s="47"/>
      <c r="D223" s="47"/>
      <c r="E223" s="47"/>
      <c r="F223" s="47"/>
      <c r="G223" s="47"/>
      <c r="H223" s="370">
        <f>4321957+629841</f>
        <v>4951798</v>
      </c>
      <c r="I223" s="1128"/>
      <c r="J223" s="370">
        <v>4321957</v>
      </c>
    </row>
    <row r="224" spans="1:10" s="134" customFormat="1" ht="23.25">
      <c r="A224" s="36"/>
      <c r="B224" s="330" t="s">
        <v>1914</v>
      </c>
      <c r="C224" s="47"/>
      <c r="D224" s="47"/>
      <c r="E224" s="47"/>
      <c r="F224" s="47"/>
      <c r="G224" s="47"/>
      <c r="H224" s="370">
        <f>4025536+1133968</f>
        <v>5159504</v>
      </c>
      <c r="I224" s="953"/>
      <c r="J224" s="370">
        <v>4025536</v>
      </c>
    </row>
    <row r="225" spans="1:10" s="134" customFormat="1" ht="23.25">
      <c r="A225" s="36"/>
      <c r="B225" s="330" t="s">
        <v>1915</v>
      </c>
      <c r="C225" s="47"/>
      <c r="D225" s="47"/>
      <c r="E225" s="47"/>
      <c r="F225" s="47"/>
      <c r="G225" s="47"/>
      <c r="H225" s="370">
        <f>-3784427-1019824</f>
        <v>-4804251</v>
      </c>
      <c r="I225" s="953"/>
      <c r="J225" s="370">
        <v>-3784427</v>
      </c>
    </row>
    <row r="226" spans="1:10" s="134" customFormat="1" ht="23.25">
      <c r="A226" s="36"/>
      <c r="B226" s="330" t="s">
        <v>1857</v>
      </c>
      <c r="C226" s="47"/>
      <c r="D226" s="47"/>
      <c r="E226" s="47"/>
      <c r="F226" s="47"/>
      <c r="G226" s="47"/>
      <c r="H226" s="370">
        <f>-1006971.81-652201</f>
        <v>-1659172.81</v>
      </c>
      <c r="I226" s="953"/>
      <c r="J226" s="370">
        <v>-1006971.81</v>
      </c>
    </row>
    <row r="227" spans="1:10" s="134" customFormat="1" ht="23.25">
      <c r="A227" s="36"/>
      <c r="B227" s="330" t="s">
        <v>1858</v>
      </c>
      <c r="C227" s="47"/>
      <c r="D227" s="47"/>
      <c r="E227" s="47"/>
      <c r="F227" s="47"/>
      <c r="G227" s="47"/>
      <c r="H227" s="370">
        <f>1045576.7+709340</f>
        <v>1754916.7</v>
      </c>
      <c r="I227" s="953"/>
      <c r="J227" s="370">
        <v>1045576.7</v>
      </c>
    </row>
    <row r="228" spans="1:10" s="134" customFormat="1" ht="23.25">
      <c r="A228" s="36"/>
      <c r="B228" s="330" t="s">
        <v>1859</v>
      </c>
      <c r="C228" s="47"/>
      <c r="D228" s="47"/>
      <c r="E228" s="47"/>
      <c r="F228" s="47"/>
      <c r="G228" s="47"/>
      <c r="H228" s="370">
        <f>-20129.74-79587</f>
        <v>-99716.74</v>
      </c>
      <c r="I228" s="953"/>
      <c r="J228" s="370">
        <v>-20129.74</v>
      </c>
    </row>
    <row r="229" spans="1:10" s="134" customFormat="1" ht="23.25">
      <c r="A229" s="36"/>
      <c r="B229" s="330" t="s">
        <v>1860</v>
      </c>
      <c r="C229" s="47"/>
      <c r="D229" s="47"/>
      <c r="E229" s="47"/>
      <c r="F229" s="47"/>
      <c r="G229" s="47"/>
      <c r="H229" s="370">
        <f>20135.86+80190</f>
        <v>100325.86</v>
      </c>
      <c r="I229" s="953"/>
      <c r="J229" s="370">
        <v>20135.86</v>
      </c>
    </row>
    <row r="230" spans="1:10" s="131" customFormat="1" ht="15" customHeight="1">
      <c r="A230" s="133"/>
      <c r="B230" s="228"/>
      <c r="C230" s="824"/>
      <c r="D230" s="824"/>
      <c r="E230" s="824"/>
      <c r="F230" s="824"/>
      <c r="G230" s="824"/>
      <c r="H230" s="353"/>
      <c r="I230" s="353"/>
      <c r="J230" s="353"/>
    </row>
    <row r="231" spans="1:10" s="134" customFormat="1" ht="24" customHeight="1">
      <c r="A231" s="429" t="s">
        <v>1469</v>
      </c>
      <c r="B231" s="330"/>
      <c r="C231" s="47"/>
      <c r="D231" s="47"/>
      <c r="E231" s="47"/>
      <c r="F231" s="47"/>
      <c r="G231" s="47"/>
      <c r="H231" s="370"/>
      <c r="I231" s="953"/>
      <c r="J231" s="370"/>
    </row>
    <row r="232" spans="1:10" s="131" customFormat="1" ht="23.25">
      <c r="A232" s="309"/>
      <c r="B232" s="309" t="s">
        <v>1463</v>
      </c>
      <c r="D232" s="309"/>
      <c r="E232" s="309"/>
      <c r="F232" s="309"/>
      <c r="G232" s="309"/>
      <c r="H232" s="309"/>
      <c r="I232" s="309"/>
      <c r="J232" s="309"/>
    </row>
    <row r="233" spans="1:10" s="131" customFormat="1" ht="23.25">
      <c r="A233" s="954" t="s">
        <v>1464</v>
      </c>
      <c r="C233" s="309"/>
      <c r="D233" s="309"/>
      <c r="E233" s="309"/>
      <c r="F233" s="309"/>
      <c r="G233" s="309"/>
      <c r="H233" s="309"/>
      <c r="I233" s="309"/>
      <c r="J233" s="309"/>
    </row>
    <row r="234" spans="1:10" s="131" customFormat="1" ht="23.25">
      <c r="A234" s="309"/>
      <c r="B234" s="309" t="s">
        <v>1470</v>
      </c>
      <c r="D234" s="309"/>
      <c r="E234" s="309"/>
      <c r="F234" s="309"/>
      <c r="G234" s="309"/>
      <c r="H234" s="309"/>
      <c r="I234" s="309"/>
      <c r="J234" s="309"/>
    </row>
    <row r="235" spans="1:10" s="131" customFormat="1" ht="23.25">
      <c r="A235" s="954" t="s">
        <v>1465</v>
      </c>
      <c r="C235" s="309"/>
      <c r="D235" s="309"/>
      <c r="E235" s="309"/>
      <c r="F235" s="309"/>
      <c r="G235" s="309"/>
      <c r="H235" s="309"/>
      <c r="I235" s="309"/>
      <c r="J235" s="309"/>
    </row>
    <row r="236" spans="1:10" s="131" customFormat="1" ht="23.25">
      <c r="A236" s="954" t="s">
        <v>1466</v>
      </c>
      <c r="C236" s="309"/>
      <c r="D236" s="309"/>
      <c r="E236" s="309"/>
      <c r="F236" s="309"/>
      <c r="G236" s="309"/>
      <c r="H236" s="309"/>
      <c r="I236" s="309"/>
      <c r="J236" s="309"/>
    </row>
    <row r="237" spans="1:10" s="131" customFormat="1" ht="23.25">
      <c r="A237" s="309"/>
      <c r="B237" s="309" t="s">
        <v>1471</v>
      </c>
      <c r="D237" s="309"/>
      <c r="E237" s="309"/>
      <c r="F237" s="309"/>
      <c r="G237" s="309"/>
      <c r="H237" s="309"/>
      <c r="I237" s="309"/>
      <c r="J237" s="309"/>
    </row>
    <row r="238" spans="1:10" s="131" customFormat="1" ht="23.25">
      <c r="A238" s="954" t="s">
        <v>1467</v>
      </c>
      <c r="C238" s="309"/>
      <c r="D238" s="309"/>
      <c r="E238" s="309"/>
      <c r="F238" s="309"/>
      <c r="G238" s="309"/>
      <c r="H238" s="309"/>
      <c r="I238" s="309"/>
      <c r="J238" s="309"/>
    </row>
    <row r="239" spans="1:10" s="131" customFormat="1" ht="23.25">
      <c r="A239" s="954" t="s">
        <v>1468</v>
      </c>
      <c r="C239" s="309"/>
      <c r="D239" s="309"/>
      <c r="E239" s="309"/>
      <c r="F239" s="309"/>
      <c r="G239" s="309"/>
      <c r="H239" s="309"/>
      <c r="I239" s="309"/>
      <c r="J239" s="309"/>
    </row>
    <row r="240" spans="1:10" s="131" customFormat="1" ht="15" customHeight="1">
      <c r="A240" s="133"/>
      <c r="B240" s="228"/>
      <c r="C240" s="824"/>
      <c r="D240" s="824"/>
      <c r="E240" s="824"/>
      <c r="F240" s="824"/>
      <c r="G240" s="824"/>
      <c r="H240" s="353"/>
      <c r="I240" s="353"/>
      <c r="J240" s="353"/>
    </row>
    <row r="241" spans="1:10" s="252" customFormat="1" ht="23.25">
      <c r="A241" s="255" t="s">
        <v>1740</v>
      </c>
      <c r="B241" s="256"/>
      <c r="C241" s="256"/>
      <c r="D241" s="256"/>
      <c r="E241" s="256"/>
      <c r="F241" s="257"/>
      <c r="H241" s="258"/>
      <c r="J241" s="258"/>
    </row>
    <row r="242" spans="1:10" s="134" customFormat="1" ht="23.25">
      <c r="A242" s="955" t="s">
        <v>1741</v>
      </c>
      <c r="B242" s="941"/>
      <c r="C242" s="309"/>
      <c r="D242" s="309"/>
      <c r="E242" s="309"/>
      <c r="F242" s="309"/>
      <c r="G242" s="309"/>
      <c r="H242" s="309"/>
      <c r="I242" s="309"/>
      <c r="J242" s="309"/>
    </row>
    <row r="243" spans="1:10" s="134" customFormat="1" ht="23.25">
      <c r="A243" s="955" t="s">
        <v>1480</v>
      </c>
      <c r="B243" s="941"/>
      <c r="C243" s="309"/>
      <c r="D243" s="309"/>
      <c r="E243" s="309"/>
      <c r="F243" s="309"/>
      <c r="G243" s="309"/>
      <c r="H243" s="309"/>
      <c r="I243" s="309"/>
      <c r="J243" s="309"/>
    </row>
    <row r="244" spans="1:10" s="134" customFormat="1" ht="23.25">
      <c r="A244" s="955" t="s">
        <v>1481</v>
      </c>
      <c r="B244" s="941"/>
      <c r="C244" s="309"/>
      <c r="D244" s="309"/>
      <c r="E244" s="309"/>
      <c r="F244" s="309"/>
      <c r="G244" s="309"/>
      <c r="H244" s="309"/>
      <c r="I244" s="309"/>
      <c r="J244" s="309"/>
    </row>
    <row r="245" spans="1:10" s="134" customFormat="1" ht="23.25">
      <c r="A245" s="955" t="s">
        <v>1482</v>
      </c>
      <c r="B245" s="941"/>
      <c r="C245" s="309"/>
      <c r="D245" s="309"/>
      <c r="E245" s="309"/>
      <c r="F245" s="309"/>
      <c r="G245" s="309"/>
      <c r="H245" s="309"/>
      <c r="I245" s="309"/>
      <c r="J245" s="309"/>
    </row>
    <row r="246" spans="1:10" s="134" customFormat="1" ht="23.25">
      <c r="A246" s="955" t="s">
        <v>1742</v>
      </c>
      <c r="B246" s="941"/>
      <c r="C246" s="309"/>
      <c r="D246" s="309"/>
      <c r="E246" s="309"/>
      <c r="F246" s="309"/>
      <c r="G246" s="309"/>
      <c r="H246" s="309"/>
      <c r="I246" s="309"/>
      <c r="J246" s="309"/>
    </row>
    <row r="247" spans="1:10" s="134" customFormat="1" ht="23.25">
      <c r="A247" s="955" t="s">
        <v>1483</v>
      </c>
      <c r="B247" s="941"/>
      <c r="C247" s="309"/>
      <c r="D247" s="309"/>
      <c r="E247" s="309"/>
      <c r="F247" s="309"/>
      <c r="G247" s="309"/>
      <c r="H247" s="309"/>
      <c r="I247" s="309"/>
      <c r="J247" s="309"/>
    </row>
    <row r="248" spans="1:10" s="134" customFormat="1" ht="23.25">
      <c r="A248" s="955" t="s">
        <v>1484</v>
      </c>
      <c r="B248" s="941"/>
      <c r="C248" s="309"/>
      <c r="D248" s="309"/>
      <c r="E248" s="309"/>
      <c r="F248" s="309"/>
      <c r="G248" s="309"/>
      <c r="H248" s="309"/>
      <c r="I248" s="309"/>
      <c r="J248" s="309"/>
    </row>
    <row r="249" spans="1:10" s="134" customFormat="1" ht="23.25">
      <c r="A249" s="955" t="s">
        <v>1743</v>
      </c>
      <c r="B249" s="941"/>
      <c r="C249" s="309"/>
      <c r="D249" s="309"/>
      <c r="E249" s="309"/>
      <c r="F249" s="309"/>
      <c r="G249" s="309"/>
      <c r="H249" s="309"/>
      <c r="I249" s="309"/>
      <c r="J249" s="309"/>
    </row>
    <row r="250" spans="1:10" s="134" customFormat="1" ht="23.25">
      <c r="A250" s="955" t="s">
        <v>1485</v>
      </c>
      <c r="B250" s="941"/>
      <c r="C250" s="309"/>
      <c r="D250" s="309"/>
      <c r="E250" s="309"/>
      <c r="F250" s="309"/>
      <c r="G250" s="309"/>
      <c r="H250" s="309"/>
      <c r="I250" s="309"/>
      <c r="J250" s="309"/>
    </row>
    <row r="251" spans="1:10" s="134" customFormat="1" ht="23.25">
      <c r="A251" s="955" t="s">
        <v>1486</v>
      </c>
      <c r="B251" s="941"/>
      <c r="C251" s="309"/>
      <c r="D251" s="309"/>
      <c r="E251" s="309"/>
      <c r="F251" s="309"/>
      <c r="G251" s="309"/>
      <c r="H251" s="309"/>
      <c r="I251" s="309"/>
      <c r="J251" s="309"/>
    </row>
    <row r="252" spans="1:10" s="134" customFormat="1" ht="23.25">
      <c r="A252" s="955" t="s">
        <v>1487</v>
      </c>
      <c r="B252" s="941"/>
      <c r="C252" s="309"/>
      <c r="D252" s="309"/>
      <c r="E252" s="309"/>
      <c r="F252" s="309"/>
      <c r="G252" s="309"/>
      <c r="H252" s="309"/>
      <c r="I252" s="309"/>
      <c r="J252" s="309"/>
    </row>
    <row r="253" spans="1:10" s="134" customFormat="1" ht="23.25">
      <c r="A253" s="955" t="s">
        <v>1744</v>
      </c>
      <c r="B253" s="941"/>
      <c r="C253" s="309"/>
      <c r="D253" s="309"/>
      <c r="E253" s="309"/>
      <c r="F253" s="309"/>
      <c r="G253" s="309"/>
      <c r="H253" s="309"/>
      <c r="I253" s="309"/>
      <c r="J253" s="309"/>
    </row>
    <row r="254" spans="1:10" s="134" customFormat="1" ht="23.25">
      <c r="A254" s="955" t="s">
        <v>1488</v>
      </c>
      <c r="B254" s="941"/>
      <c r="C254" s="309"/>
      <c r="D254" s="309"/>
      <c r="E254" s="309"/>
      <c r="F254" s="309"/>
      <c r="G254" s="309"/>
      <c r="H254" s="309"/>
      <c r="I254" s="309"/>
      <c r="J254" s="309"/>
    </row>
    <row r="255" spans="1:10" s="134" customFormat="1" ht="23.25">
      <c r="A255" s="955" t="s">
        <v>1489</v>
      </c>
      <c r="B255" s="941"/>
      <c r="C255" s="309"/>
      <c r="D255" s="309"/>
      <c r="E255" s="309"/>
      <c r="F255" s="309"/>
      <c r="G255" s="309"/>
      <c r="H255" s="309"/>
      <c r="I255" s="309"/>
      <c r="J255" s="309"/>
    </row>
    <row r="256" spans="1:10" s="2" customFormat="1" ht="24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1:10" ht="24" customHeight="1">
      <c r="A257" s="12" t="s">
        <v>118</v>
      </c>
      <c r="B257" s="49"/>
      <c r="C257" s="24"/>
      <c r="D257" s="24"/>
      <c r="E257" s="24"/>
      <c r="F257" s="24"/>
      <c r="G257" s="24"/>
      <c r="H257" s="24"/>
      <c r="I257" s="24"/>
      <c r="J257" s="50"/>
    </row>
  </sheetData>
  <sheetProtection/>
  <printOptions horizontalCentered="1"/>
  <pageMargins left="0.3937007874015748" right="0" top="0.3937007874015748" bottom="0" header="0.2362204724409449" footer="0.1968503937007874"/>
  <pageSetup horizontalDpi="600" verticalDpi="600" orientation="portrait" paperSize="9" scale="83" r:id="rId1"/>
  <rowBreaks count="2" manualBreakCount="2">
    <brk id="42" max="255" man="1"/>
    <brk id="214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83"/>
  <sheetViews>
    <sheetView zoomScaleSheetLayoutView="100" zoomScalePageLayoutView="0" workbookViewId="0" topLeftCell="A1">
      <selection activeCell="B11" sqref="B11"/>
    </sheetView>
  </sheetViews>
  <sheetFormatPr defaultColWidth="9.140625" defaultRowHeight="24" customHeight="1"/>
  <cols>
    <col min="1" max="1" width="4.7109375" style="14" customWidth="1"/>
    <col min="2" max="2" width="11.57421875" style="14" customWidth="1"/>
    <col min="3" max="3" width="12.140625" style="14" customWidth="1"/>
    <col min="4" max="4" width="19.140625" style="14" customWidth="1"/>
    <col min="5" max="5" width="1.421875" style="14" customWidth="1"/>
    <col min="6" max="6" width="12.57421875" style="42" customWidth="1"/>
    <col min="7" max="7" width="1.7109375" style="14" customWidth="1"/>
    <col min="8" max="8" width="18.421875" style="14" bestFit="1" customWidth="1"/>
    <col min="9" max="9" width="1.421875" style="14" customWidth="1"/>
    <col min="10" max="10" width="18.421875" style="14" bestFit="1" customWidth="1"/>
    <col min="11" max="11" width="1.28515625" style="14" customWidth="1"/>
    <col min="12" max="12" width="18.421875" style="14" bestFit="1" customWidth="1"/>
    <col min="13" max="13" width="1.1484375" style="14" customWidth="1"/>
    <col min="14" max="14" width="17.421875" style="14" bestFit="1" customWidth="1"/>
    <col min="15" max="15" width="1.28515625" style="14" customWidth="1"/>
    <col min="16" max="16" width="2.140625" style="14" customWidth="1"/>
    <col min="17" max="17" width="14.140625" style="14" bestFit="1" customWidth="1"/>
    <col min="18" max="18" width="10.57421875" style="14" bestFit="1" customWidth="1"/>
    <col min="19" max="16384" width="9.140625" style="14" customWidth="1"/>
  </cols>
  <sheetData>
    <row r="1" spans="1:15" ht="24" customHeight="1">
      <c r="A1" s="913" t="s">
        <v>1633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4"/>
    </row>
    <row r="2" spans="1:14" ht="25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L2" s="24"/>
      <c r="M2" s="24"/>
      <c r="N2" s="24"/>
    </row>
    <row r="3" spans="1:10" s="437" customFormat="1" ht="25.5" customHeight="1">
      <c r="A3" s="917" t="s">
        <v>1745</v>
      </c>
      <c r="B3" s="804"/>
      <c r="C3" s="804"/>
      <c r="D3" s="804"/>
      <c r="E3" s="804"/>
      <c r="F3" s="804"/>
      <c r="G3" s="804"/>
      <c r="H3" s="804"/>
      <c r="I3" s="804"/>
      <c r="J3" s="804"/>
    </row>
    <row r="4" spans="2:10" s="437" customFormat="1" ht="25.5" customHeight="1">
      <c r="B4" s="309" t="s">
        <v>1475</v>
      </c>
      <c r="C4" s="309"/>
      <c r="D4" s="309"/>
      <c r="E4" s="309"/>
      <c r="F4" s="309"/>
      <c r="G4" s="309"/>
      <c r="H4" s="309"/>
      <c r="I4" s="309"/>
      <c r="J4" s="309"/>
    </row>
    <row r="5" spans="1:10" s="437" customFormat="1" ht="25.5" customHeight="1">
      <c r="A5" s="309" t="s">
        <v>1476</v>
      </c>
      <c r="B5" s="309"/>
      <c r="C5" s="309"/>
      <c r="D5" s="309"/>
      <c r="E5" s="309"/>
      <c r="F5" s="309"/>
      <c r="G5" s="309"/>
      <c r="H5" s="309"/>
      <c r="I5" s="309"/>
      <c r="J5" s="309"/>
    </row>
    <row r="6" spans="1:10" s="131" customFormat="1" ht="25.5" customHeight="1">
      <c r="A6" s="131" t="s">
        <v>1477</v>
      </c>
      <c r="B6" s="309"/>
      <c r="C6" s="309"/>
      <c r="D6" s="309"/>
      <c r="E6" s="309"/>
      <c r="F6" s="309"/>
      <c r="G6" s="309"/>
      <c r="H6" s="309"/>
      <c r="I6" s="309"/>
      <c r="J6" s="309"/>
    </row>
    <row r="7" s="1" customFormat="1" ht="25.5" customHeight="1">
      <c r="A7" s="1" t="s">
        <v>646</v>
      </c>
    </row>
    <row r="8" spans="1:10" s="131" customFormat="1" ht="25.5" customHeight="1">
      <c r="A8" s="917" t="s">
        <v>1746</v>
      </c>
      <c r="B8" s="309"/>
      <c r="C8" s="309"/>
      <c r="D8" s="309"/>
      <c r="E8" s="309"/>
      <c r="F8" s="309"/>
      <c r="G8" s="309"/>
      <c r="H8" s="309"/>
      <c r="I8" s="309"/>
      <c r="J8" s="309"/>
    </row>
    <row r="9" spans="2:10" s="131" customFormat="1" ht="25.5" customHeight="1">
      <c r="B9" s="309" t="s">
        <v>1479</v>
      </c>
      <c r="C9" s="309"/>
      <c r="D9" s="309"/>
      <c r="E9" s="309"/>
      <c r="F9" s="309"/>
      <c r="G9" s="309"/>
      <c r="H9" s="309"/>
      <c r="I9" s="309"/>
      <c r="J9" s="309"/>
    </row>
    <row r="10" spans="1:10" s="131" customFormat="1" ht="25.5" customHeight="1">
      <c r="A10" s="309" t="s">
        <v>1478</v>
      </c>
      <c r="B10" s="309"/>
      <c r="C10" s="309"/>
      <c r="D10" s="309"/>
      <c r="E10" s="309"/>
      <c r="F10" s="309"/>
      <c r="G10" s="309"/>
      <c r="H10" s="309"/>
      <c r="I10" s="309"/>
      <c r="J10" s="309"/>
    </row>
    <row r="11" s="1" customFormat="1" ht="25.5" customHeight="1">
      <c r="A11" s="1" t="s">
        <v>646</v>
      </c>
    </row>
    <row r="12" spans="1:14" s="11" customFormat="1" ht="24.75" customHeight="1">
      <c r="A12" s="261" t="s">
        <v>1747</v>
      </c>
      <c r="B12" s="15"/>
      <c r="C12" s="15"/>
      <c r="D12" s="15"/>
      <c r="E12" s="15"/>
      <c r="F12" s="15"/>
      <c r="G12" s="15"/>
      <c r="H12" s="15"/>
      <c r="I12" s="15"/>
      <c r="J12" s="15"/>
      <c r="L12" s="15"/>
      <c r="M12" s="15"/>
      <c r="N12" s="15"/>
    </row>
    <row r="13" spans="1:14" s="11" customFormat="1" ht="24.75" customHeight="1">
      <c r="A13" s="261"/>
      <c r="B13" s="15"/>
      <c r="C13" s="15"/>
      <c r="D13" s="15"/>
      <c r="E13" s="15"/>
      <c r="F13" s="15"/>
      <c r="G13" s="15"/>
      <c r="H13" s="15"/>
      <c r="I13" s="15"/>
      <c r="J13" s="15"/>
      <c r="L13" s="15"/>
      <c r="M13" s="15"/>
      <c r="N13" s="331" t="s">
        <v>214</v>
      </c>
    </row>
    <row r="14" spans="1:13" s="11" customFormat="1" ht="24.75" customHeight="1">
      <c r="A14" s="15"/>
      <c r="B14" s="15"/>
      <c r="C14" s="15"/>
      <c r="D14" s="15"/>
      <c r="E14" s="15"/>
      <c r="F14" s="15"/>
      <c r="G14" s="15"/>
      <c r="H14" s="262"/>
      <c r="I14" s="252"/>
      <c r="J14" s="957" t="s">
        <v>1171</v>
      </c>
      <c r="L14" s="262"/>
      <c r="M14" s="252"/>
    </row>
    <row r="15" spans="1:14" s="11" customFormat="1" ht="24.75" customHeight="1">
      <c r="A15" s="15"/>
      <c r="B15" s="15"/>
      <c r="C15" s="15"/>
      <c r="D15" s="15"/>
      <c r="E15" s="15"/>
      <c r="F15" s="15"/>
      <c r="G15" s="15"/>
      <c r="H15" s="957" t="s">
        <v>541</v>
      </c>
      <c r="I15" s="264"/>
      <c r="J15" s="957" t="s">
        <v>1172</v>
      </c>
      <c r="L15" s="263"/>
      <c r="M15" s="264" t="s">
        <v>126</v>
      </c>
      <c r="N15" s="255"/>
    </row>
    <row r="16" spans="1:14" s="11" customFormat="1" ht="24.75" customHeight="1">
      <c r="A16" s="15"/>
      <c r="B16" s="15"/>
      <c r="C16" s="15"/>
      <c r="D16" s="15"/>
      <c r="E16" s="15"/>
      <c r="F16" s="15"/>
      <c r="G16" s="15"/>
      <c r="H16" s="957"/>
      <c r="I16" s="264"/>
      <c r="J16" s="957" t="s">
        <v>1173</v>
      </c>
      <c r="L16" s="263"/>
      <c r="M16" s="264"/>
      <c r="N16" s="255"/>
    </row>
    <row r="17" spans="1:14" s="11" customFormat="1" ht="24.75" customHeight="1">
      <c r="A17" s="15"/>
      <c r="B17" s="15"/>
      <c r="C17" s="15"/>
      <c r="D17" s="15"/>
      <c r="E17" s="15"/>
      <c r="F17" s="15"/>
      <c r="G17" s="15"/>
      <c r="H17" s="265" t="s">
        <v>1454</v>
      </c>
      <c r="I17" s="266"/>
      <c r="J17" s="265" t="s">
        <v>754</v>
      </c>
      <c r="L17" s="265" t="s">
        <v>1454</v>
      </c>
      <c r="M17" s="266"/>
      <c r="N17" s="265" t="s">
        <v>754</v>
      </c>
    </row>
    <row r="18" spans="1:14" s="11" customFormat="1" ht="24.75" customHeight="1">
      <c r="A18" s="15"/>
      <c r="B18" s="268" t="s">
        <v>498</v>
      </c>
      <c r="C18" s="15"/>
      <c r="D18" s="15"/>
      <c r="E18" s="15"/>
      <c r="F18" s="15"/>
      <c r="G18" s="15"/>
      <c r="H18" s="269"/>
      <c r="I18" s="267"/>
      <c r="J18" s="269"/>
      <c r="L18" s="269"/>
      <c r="M18" s="267"/>
      <c r="N18" s="269"/>
    </row>
    <row r="19" spans="1:14" s="11" customFormat="1" ht="24.75" customHeight="1">
      <c r="A19" s="15"/>
      <c r="B19" s="295" t="s">
        <v>1550</v>
      </c>
      <c r="C19" s="15"/>
      <c r="D19" s="15"/>
      <c r="E19" s="15"/>
      <c r="F19" s="15"/>
      <c r="G19" s="15"/>
      <c r="H19" s="370">
        <v>248074.15</v>
      </c>
      <c r="I19" s="267"/>
      <c r="J19" s="370">
        <v>0</v>
      </c>
      <c r="K19" s="370"/>
      <c r="L19" s="370">
        <v>248074.15</v>
      </c>
      <c r="M19" s="267"/>
      <c r="N19" s="370">
        <v>0</v>
      </c>
    </row>
    <row r="20" spans="1:14" s="11" customFormat="1" ht="24.75" customHeight="1">
      <c r="A20" s="15"/>
      <c r="B20" s="295" t="s">
        <v>1855</v>
      </c>
      <c r="C20" s="15"/>
      <c r="D20" s="15"/>
      <c r="E20" s="15"/>
      <c r="F20" s="15"/>
      <c r="G20" s="15"/>
      <c r="H20" s="370">
        <f>2470604.66+154228063.16+5374643.15</f>
        <v>162073310.97</v>
      </c>
      <c r="I20" s="370"/>
      <c r="J20" s="370">
        <f>85365765.23+39568901.95+4755013.87</f>
        <v>129689681.05000001</v>
      </c>
      <c r="K20" s="370"/>
      <c r="L20" s="370">
        <f>28303749.71+154228063.16+5374643.15</f>
        <v>187906456.02</v>
      </c>
      <c r="M20" s="370"/>
      <c r="N20" s="370">
        <f>18731985.83+85365765.23+39568901.95+4755013.87</f>
        <v>148421666.88</v>
      </c>
    </row>
    <row r="21" spans="1:14" s="11" customFormat="1" ht="24.75" customHeight="1">
      <c r="A21" s="15"/>
      <c r="B21" s="295" t="s">
        <v>83</v>
      </c>
      <c r="C21" s="15"/>
      <c r="D21" s="15"/>
      <c r="E21" s="15"/>
      <c r="F21" s="15"/>
      <c r="G21" s="15"/>
      <c r="H21" s="370">
        <v>1787948.36</v>
      </c>
      <c r="I21" s="370"/>
      <c r="J21" s="370">
        <v>1787948.36</v>
      </c>
      <c r="K21" s="370"/>
      <c r="L21" s="370">
        <v>1787948.36</v>
      </c>
      <c r="M21" s="370"/>
      <c r="N21" s="370">
        <v>1787948.36</v>
      </c>
    </row>
    <row r="22" spans="1:14" s="11" customFormat="1" ht="24.75" customHeight="1">
      <c r="A22" s="15"/>
      <c r="B22" s="295" t="s">
        <v>505</v>
      </c>
      <c r="C22" s="15"/>
      <c r="D22" s="15"/>
      <c r="E22" s="15"/>
      <c r="F22" s="15"/>
      <c r="G22" s="15"/>
      <c r="H22" s="370">
        <v>13025046.91</v>
      </c>
      <c r="I22" s="370"/>
      <c r="J22" s="370">
        <v>13025046.91</v>
      </c>
      <c r="K22" s="370"/>
      <c r="L22" s="370">
        <v>13025046.91</v>
      </c>
      <c r="M22" s="370"/>
      <c r="N22" s="370">
        <v>13025046.91</v>
      </c>
    </row>
    <row r="23" spans="1:14" s="11" customFormat="1" ht="24.75" customHeight="1">
      <c r="A23" s="15"/>
      <c r="B23" s="295" t="s">
        <v>509</v>
      </c>
      <c r="C23" s="15"/>
      <c r="D23" s="15"/>
      <c r="E23" s="15"/>
      <c r="F23" s="15"/>
      <c r="G23" s="15"/>
      <c r="H23" s="370">
        <v>3645180</v>
      </c>
      <c r="I23" s="370"/>
      <c r="J23" s="370">
        <v>3645180</v>
      </c>
      <c r="K23" s="370"/>
      <c r="L23" s="370">
        <v>3645180</v>
      </c>
      <c r="M23" s="370"/>
      <c r="N23" s="370">
        <v>3645180</v>
      </c>
    </row>
    <row r="24" spans="1:14" s="11" customFormat="1" ht="24.75" customHeight="1">
      <c r="A24" s="15"/>
      <c r="B24" s="295" t="s">
        <v>506</v>
      </c>
      <c r="C24" s="15"/>
      <c r="D24" s="15"/>
      <c r="E24" s="15"/>
      <c r="F24" s="15"/>
      <c r="G24" s="15"/>
      <c r="H24" s="370">
        <v>20462400</v>
      </c>
      <c r="I24" s="370"/>
      <c r="J24" s="370">
        <v>1599090</v>
      </c>
      <c r="K24" s="370"/>
      <c r="L24" s="370">
        <v>20462400</v>
      </c>
      <c r="M24" s="370"/>
      <c r="N24" s="370">
        <v>1599090</v>
      </c>
    </row>
    <row r="25" spans="1:14" s="11" customFormat="1" ht="24.75" customHeight="1">
      <c r="A25" s="15"/>
      <c r="B25" s="295" t="s">
        <v>507</v>
      </c>
      <c r="C25" s="15"/>
      <c r="D25" s="15"/>
      <c r="E25" s="15"/>
      <c r="F25" s="15"/>
      <c r="G25" s="15"/>
      <c r="H25" s="370">
        <v>2714881.95</v>
      </c>
      <c r="I25" s="370"/>
      <c r="J25" s="370">
        <v>914881.95</v>
      </c>
      <c r="K25" s="370"/>
      <c r="L25" s="370">
        <v>2714881.95</v>
      </c>
      <c r="M25" s="370"/>
      <c r="N25" s="370">
        <v>914881.95</v>
      </c>
    </row>
    <row r="26" spans="1:14" s="11" customFormat="1" ht="24.75" customHeight="1">
      <c r="A26" s="15"/>
      <c r="B26" s="295" t="s">
        <v>508</v>
      </c>
      <c r="C26" s="15"/>
      <c r="D26" s="15"/>
      <c r="E26" s="15"/>
      <c r="F26" s="15"/>
      <c r="G26" s="15"/>
      <c r="H26" s="370">
        <f>10724335.26+4865408.8+3404779.17</f>
        <v>18994523.229999997</v>
      </c>
      <c r="I26" s="370"/>
      <c r="J26" s="370">
        <f>10353195.03+944475.2</f>
        <v>11297670.229999999</v>
      </c>
      <c r="K26" s="370"/>
      <c r="L26" s="370">
        <f>10724335.26+4865408.8</f>
        <v>15589744.059999999</v>
      </c>
      <c r="M26" s="370"/>
      <c r="N26" s="370">
        <f>10353195.03+944475.2</f>
        <v>11297670.229999999</v>
      </c>
    </row>
    <row r="27" spans="1:14" s="11" customFormat="1" ht="24.75" customHeight="1">
      <c r="A27" s="15"/>
      <c r="B27" s="15"/>
      <c r="C27" s="15" t="s">
        <v>212</v>
      </c>
      <c r="D27" s="15"/>
      <c r="E27" s="15"/>
      <c r="F27" s="15"/>
      <c r="G27" s="15"/>
      <c r="H27" s="956">
        <f>SUM(H19:H26)</f>
        <v>222951365.57</v>
      </c>
      <c r="I27" s="296"/>
      <c r="J27" s="956">
        <f>SUM(J19:J26)</f>
        <v>161959498.5</v>
      </c>
      <c r="L27" s="956">
        <f>SUM(L19:L26)</f>
        <v>245379731.45000002</v>
      </c>
      <c r="M27" s="296"/>
      <c r="N27" s="956">
        <f>SUM(N19:N26)</f>
        <v>180691484.32999998</v>
      </c>
    </row>
    <row r="28" spans="1:14" s="11" customFormat="1" ht="24.75" customHeight="1">
      <c r="A28" s="15"/>
      <c r="B28" s="261" t="s">
        <v>499</v>
      </c>
      <c r="C28" s="15"/>
      <c r="D28" s="15"/>
      <c r="E28" s="15"/>
      <c r="F28" s="15"/>
      <c r="G28" s="15"/>
      <c r="H28" s="296"/>
      <c r="I28" s="296"/>
      <c r="J28" s="296"/>
      <c r="L28" s="296"/>
      <c r="M28" s="296"/>
      <c r="N28" s="296"/>
    </row>
    <row r="29" spans="1:14" s="11" customFormat="1" ht="24.75" customHeight="1">
      <c r="A29" s="15"/>
      <c r="B29" s="295" t="s">
        <v>1853</v>
      </c>
      <c r="C29" s="15"/>
      <c r="D29" s="15"/>
      <c r="E29" s="15"/>
      <c r="F29" s="15"/>
      <c r="G29" s="15"/>
      <c r="H29" s="370">
        <v>-163542955.59</v>
      </c>
      <c r="I29" s="370"/>
      <c r="J29" s="370">
        <v>0</v>
      </c>
      <c r="K29" s="370"/>
      <c r="L29" s="370">
        <v>0</v>
      </c>
      <c r="M29" s="370"/>
      <c r="N29" s="370">
        <v>0</v>
      </c>
    </row>
    <row r="30" spans="1:14" s="11" customFormat="1" ht="24.75" customHeight="1">
      <c r="A30" s="15"/>
      <c r="B30" s="295" t="s">
        <v>1854</v>
      </c>
      <c r="C30" s="15"/>
      <c r="D30" s="15"/>
      <c r="E30" s="15"/>
      <c r="F30" s="15"/>
      <c r="G30" s="15"/>
      <c r="H30" s="370">
        <v>-203034120</v>
      </c>
      <c r="I30" s="370"/>
      <c r="J30" s="370">
        <v>0</v>
      </c>
      <c r="K30" s="370"/>
      <c r="L30" s="370">
        <v>-203034120</v>
      </c>
      <c r="M30" s="370"/>
      <c r="N30" s="370">
        <v>0</v>
      </c>
    </row>
    <row r="31" spans="1:14" s="11" customFormat="1" ht="24.75" customHeight="1">
      <c r="A31" s="15"/>
      <c r="B31" s="295" t="s">
        <v>511</v>
      </c>
      <c r="C31" s="15"/>
      <c r="D31" s="15"/>
      <c r="E31" s="15"/>
      <c r="F31" s="15"/>
      <c r="G31" s="15"/>
      <c r="H31" s="296"/>
      <c r="I31" s="296"/>
      <c r="J31" s="296"/>
      <c r="L31" s="296"/>
      <c r="M31" s="296"/>
      <c r="N31" s="296"/>
    </row>
    <row r="32" spans="1:14" s="11" customFormat="1" ht="24.75" customHeight="1">
      <c r="A32" s="15"/>
      <c r="B32" s="1129" t="s">
        <v>1856</v>
      </c>
      <c r="C32" s="15"/>
      <c r="D32" s="15"/>
      <c r="E32" s="15"/>
      <c r="F32" s="15"/>
      <c r="G32" s="15"/>
      <c r="H32" s="370">
        <f>-270848859.01-15443384.25</f>
        <v>-286292243.26</v>
      </c>
      <c r="I32" s="370"/>
      <c r="J32" s="370">
        <f>-438642086.31-14027000.19</f>
        <v>-452669086.5</v>
      </c>
      <c r="K32" s="370"/>
      <c r="L32" s="370">
        <f>-270848859.01-15356852.85</f>
        <v>-286205711.86</v>
      </c>
      <c r="M32" s="370"/>
      <c r="N32" s="370">
        <f>-438642086.31-14027000.19</f>
        <v>-452669086.5</v>
      </c>
    </row>
    <row r="33" spans="1:14" s="11" customFormat="1" ht="24.75" customHeight="1">
      <c r="A33" s="15"/>
      <c r="B33" s="295" t="s">
        <v>510</v>
      </c>
      <c r="C33" s="15"/>
      <c r="D33" s="15"/>
      <c r="E33" s="15"/>
      <c r="F33" s="15"/>
      <c r="G33" s="15"/>
      <c r="H33" s="370"/>
      <c r="I33" s="370"/>
      <c r="J33" s="370"/>
      <c r="K33" s="370"/>
      <c r="L33" s="370"/>
      <c r="M33" s="370"/>
      <c r="N33" s="370"/>
    </row>
    <row r="34" spans="1:14" s="11" customFormat="1" ht="24.75" customHeight="1">
      <c r="A34" s="15"/>
      <c r="B34" s="295" t="s">
        <v>533</v>
      </c>
      <c r="C34" s="15"/>
      <c r="D34" s="15"/>
      <c r="E34" s="15"/>
      <c r="F34" s="15"/>
      <c r="G34" s="15"/>
      <c r="H34" s="370">
        <v>-207925.14</v>
      </c>
      <c r="I34" s="370"/>
      <c r="J34" s="370">
        <v>-89424.08</v>
      </c>
      <c r="K34" s="370"/>
      <c r="L34" s="370">
        <v>-207925.14</v>
      </c>
      <c r="M34" s="370"/>
      <c r="N34" s="370">
        <v>-89424.08</v>
      </c>
    </row>
    <row r="35" spans="1:14" s="11" customFormat="1" ht="24.75" customHeight="1">
      <c r="A35" s="15"/>
      <c r="B35" s="15"/>
      <c r="C35" s="15" t="s">
        <v>212</v>
      </c>
      <c r="D35" s="15"/>
      <c r="E35" s="15"/>
      <c r="F35" s="15"/>
      <c r="G35" s="15"/>
      <c r="H35" s="956">
        <f>SUM(H29:H34)</f>
        <v>-653077243.99</v>
      </c>
      <c r="I35" s="370"/>
      <c r="J35" s="956">
        <f>SUM(J29:J34)</f>
        <v>-452758510.58</v>
      </c>
      <c r="K35" s="370"/>
      <c r="L35" s="956">
        <f>SUM(L29:L34)</f>
        <v>-489447757</v>
      </c>
      <c r="M35" s="370"/>
      <c r="N35" s="956">
        <f>SUM(N29:N34)</f>
        <v>-452758510.58</v>
      </c>
    </row>
    <row r="36" spans="1:14" s="11" customFormat="1" ht="24.75" customHeight="1" thickBot="1">
      <c r="A36" s="15"/>
      <c r="B36" s="15" t="s">
        <v>664</v>
      </c>
      <c r="C36" s="15"/>
      <c r="D36" s="15"/>
      <c r="E36" s="15"/>
      <c r="F36" s="15"/>
      <c r="G36" s="15"/>
      <c r="H36" s="958">
        <f>H27+H35</f>
        <v>-430125878.42</v>
      </c>
      <c r="I36" s="370"/>
      <c r="J36" s="958">
        <f>J27+J35</f>
        <v>-290799012.08</v>
      </c>
      <c r="K36" s="370"/>
      <c r="L36" s="958">
        <f>L27+L35</f>
        <v>-244068025.54999998</v>
      </c>
      <c r="M36" s="370"/>
      <c r="N36" s="958">
        <f>N27+N35</f>
        <v>-272067026.25</v>
      </c>
    </row>
    <row r="37" spans="1:14" s="11" customFormat="1" ht="24" thickTop="1">
      <c r="A37" s="15"/>
      <c r="B37" s="15"/>
      <c r="C37" s="15"/>
      <c r="D37" s="15"/>
      <c r="E37" s="15"/>
      <c r="F37" s="15"/>
      <c r="G37" s="15"/>
      <c r="H37" s="370"/>
      <c r="I37" s="370"/>
      <c r="J37" s="370"/>
      <c r="K37" s="370"/>
      <c r="L37" s="370"/>
      <c r="M37" s="370"/>
      <c r="N37" s="370"/>
    </row>
    <row r="38" spans="1:14" s="11" customFormat="1" ht="23.25">
      <c r="A38" s="15"/>
      <c r="B38" s="15"/>
      <c r="C38" s="15"/>
      <c r="D38" s="15"/>
      <c r="E38" s="15"/>
      <c r="F38" s="15"/>
      <c r="G38" s="15"/>
      <c r="H38" s="370"/>
      <c r="I38" s="370"/>
      <c r="J38" s="370"/>
      <c r="K38" s="370"/>
      <c r="L38" s="370"/>
      <c r="M38" s="370"/>
      <c r="N38" s="370"/>
    </row>
    <row r="39" spans="1:14" s="11" customFormat="1" ht="23.25">
      <c r="A39" s="15"/>
      <c r="B39" s="15"/>
      <c r="C39" s="15"/>
      <c r="D39" s="15"/>
      <c r="E39" s="15"/>
      <c r="F39" s="15"/>
      <c r="G39" s="15"/>
      <c r="H39" s="370"/>
      <c r="I39" s="370"/>
      <c r="J39" s="370"/>
      <c r="K39" s="370"/>
      <c r="L39" s="370"/>
      <c r="M39" s="370"/>
      <c r="N39" s="370"/>
    </row>
    <row r="40" spans="1:14" s="11" customFormat="1" ht="24" customHeight="1">
      <c r="A40" s="15"/>
      <c r="B40" s="15"/>
      <c r="C40" s="15"/>
      <c r="D40" s="15"/>
      <c r="E40" s="15"/>
      <c r="F40" s="15"/>
      <c r="G40" s="15"/>
      <c r="H40" s="267"/>
      <c r="I40" s="267"/>
      <c r="J40" s="267"/>
      <c r="L40" s="267"/>
      <c r="M40" s="267"/>
      <c r="N40" s="267"/>
    </row>
    <row r="41" spans="1:15" ht="24" customHeight="1">
      <c r="A41" s="24" t="s">
        <v>118</v>
      </c>
      <c r="B41" s="24"/>
      <c r="C41" s="24"/>
      <c r="D41" s="24"/>
      <c r="E41" s="24"/>
      <c r="F41" s="24"/>
      <c r="G41" s="24"/>
      <c r="H41" s="24"/>
      <c r="I41" s="24"/>
      <c r="J41" s="24"/>
      <c r="K41" s="49"/>
      <c r="L41" s="24"/>
      <c r="M41" s="24"/>
      <c r="N41" s="24"/>
      <c r="O41" s="49"/>
    </row>
    <row r="42" spans="1:15" ht="24" customHeight="1">
      <c r="A42" s="913" t="s">
        <v>1472</v>
      </c>
      <c r="B42" s="913"/>
      <c r="C42" s="913"/>
      <c r="D42" s="913"/>
      <c r="E42" s="913"/>
      <c r="F42" s="913"/>
      <c r="G42" s="913"/>
      <c r="H42" s="913"/>
      <c r="I42" s="913"/>
      <c r="J42" s="913"/>
      <c r="K42" s="913"/>
      <c r="L42" s="913"/>
      <c r="M42" s="913"/>
      <c r="N42" s="913"/>
      <c r="O42" s="914"/>
    </row>
    <row r="43" spans="1:14" ht="24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L43" s="24"/>
      <c r="M43" s="24"/>
      <c r="N43" s="24"/>
    </row>
    <row r="44" spans="1:14" s="11" customFormat="1" ht="24" customHeight="1">
      <c r="A44" s="261" t="s">
        <v>1748</v>
      </c>
      <c r="B44" s="15"/>
      <c r="C44" s="15"/>
      <c r="D44" s="15"/>
      <c r="E44" s="15"/>
      <c r="F44" s="15"/>
      <c r="G44" s="15"/>
      <c r="H44" s="15"/>
      <c r="I44" s="15"/>
      <c r="J44" s="15"/>
      <c r="L44" s="15"/>
      <c r="M44" s="15"/>
      <c r="N44" s="15"/>
    </row>
    <row r="45" spans="1:14" s="11" customFormat="1" ht="24" customHeight="1">
      <c r="A45" s="15"/>
      <c r="B45" s="270" t="s">
        <v>1490</v>
      </c>
      <c r="C45" s="15"/>
      <c r="D45" s="15"/>
      <c r="E45" s="15"/>
      <c r="F45" s="15"/>
      <c r="G45" s="15"/>
      <c r="H45" s="267"/>
      <c r="I45" s="267"/>
      <c r="J45" s="267"/>
      <c r="L45" s="267"/>
      <c r="M45" s="267"/>
      <c r="N45" s="267"/>
    </row>
    <row r="46" spans="1:14" s="11" customFormat="1" ht="24" customHeight="1">
      <c r="A46" s="261"/>
      <c r="B46" s="15"/>
      <c r="C46" s="15"/>
      <c r="D46" s="15"/>
      <c r="E46" s="15"/>
      <c r="F46" s="15"/>
      <c r="G46" s="15"/>
      <c r="H46" s="15"/>
      <c r="I46" s="15"/>
      <c r="J46" s="15"/>
      <c r="L46" s="15"/>
      <c r="M46" s="15"/>
      <c r="N46" s="331" t="s">
        <v>214</v>
      </c>
    </row>
    <row r="47" spans="1:13" s="11" customFormat="1" ht="24" customHeight="1">
      <c r="A47" s="15"/>
      <c r="B47" s="15"/>
      <c r="C47" s="15"/>
      <c r="D47" s="15"/>
      <c r="E47" s="15"/>
      <c r="F47" s="15"/>
      <c r="G47" s="15"/>
      <c r="H47" s="262"/>
      <c r="I47" s="252"/>
      <c r="J47" s="957" t="s">
        <v>1171</v>
      </c>
      <c r="L47" s="262"/>
      <c r="M47" s="252"/>
    </row>
    <row r="48" spans="1:14" s="11" customFormat="1" ht="24" customHeight="1">
      <c r="A48" s="15"/>
      <c r="B48" s="15"/>
      <c r="C48" s="15"/>
      <c r="D48" s="15"/>
      <c r="E48" s="15"/>
      <c r="F48" s="15"/>
      <c r="G48" s="15"/>
      <c r="H48" s="957" t="s">
        <v>541</v>
      </c>
      <c r="I48" s="264"/>
      <c r="J48" s="957" t="s">
        <v>1172</v>
      </c>
      <c r="L48" s="263"/>
      <c r="M48" s="264" t="s">
        <v>126</v>
      </c>
      <c r="N48" s="255"/>
    </row>
    <row r="49" spans="1:14" s="11" customFormat="1" ht="24" customHeight="1">
      <c r="A49" s="15"/>
      <c r="B49" s="15"/>
      <c r="C49" s="15"/>
      <c r="D49" s="15"/>
      <c r="E49" s="15"/>
      <c r="F49" s="15"/>
      <c r="G49" s="15"/>
      <c r="H49" s="957"/>
      <c r="I49" s="264"/>
      <c r="J49" s="957" t="s">
        <v>1173</v>
      </c>
      <c r="L49" s="263"/>
      <c r="M49" s="264"/>
      <c r="N49" s="255"/>
    </row>
    <row r="50" spans="1:14" s="252" customFormat="1" ht="24" customHeight="1">
      <c r="A50" s="267"/>
      <c r="B50" s="267"/>
      <c r="C50" s="267"/>
      <c r="D50" s="267"/>
      <c r="E50" s="267"/>
      <c r="F50" s="267"/>
      <c r="G50" s="267"/>
      <c r="H50" s="265" t="s">
        <v>1454</v>
      </c>
      <c r="I50" s="266"/>
      <c r="J50" s="265" t="s">
        <v>754</v>
      </c>
      <c r="K50" s="11"/>
      <c r="L50" s="265" t="s">
        <v>1454</v>
      </c>
      <c r="M50" s="266"/>
      <c r="N50" s="265" t="s">
        <v>754</v>
      </c>
    </row>
    <row r="51" spans="1:14" s="252" customFormat="1" ht="24" customHeight="1">
      <c r="A51" s="267"/>
      <c r="B51" s="268" t="s">
        <v>497</v>
      </c>
      <c r="C51" s="267"/>
      <c r="D51" s="267"/>
      <c r="E51" s="267"/>
      <c r="F51" s="267"/>
      <c r="G51" s="267"/>
      <c r="H51" s="267"/>
      <c r="I51" s="267"/>
      <c r="J51" s="267"/>
      <c r="L51" s="267"/>
      <c r="M51" s="267"/>
      <c r="N51" s="267"/>
    </row>
    <row r="52" spans="1:14" s="252" customFormat="1" ht="24" customHeight="1">
      <c r="A52" s="267"/>
      <c r="B52" s="270" t="s">
        <v>429</v>
      </c>
      <c r="C52" s="267"/>
      <c r="D52" s="267"/>
      <c r="E52" s="267"/>
      <c r="F52" s="267"/>
      <c r="G52" s="267"/>
      <c r="H52" s="370">
        <v>-3329410.51</v>
      </c>
      <c r="I52" s="370"/>
      <c r="J52" s="370">
        <v>0</v>
      </c>
      <c r="K52" s="370"/>
      <c r="L52" s="370">
        <v>0</v>
      </c>
      <c r="M52" s="370"/>
      <c r="N52" s="370">
        <v>0</v>
      </c>
    </row>
    <row r="53" spans="1:14" s="252" customFormat="1" ht="24" customHeight="1">
      <c r="A53" s="267"/>
      <c r="B53" s="268" t="s">
        <v>500</v>
      </c>
      <c r="C53" s="267"/>
      <c r="D53" s="267"/>
      <c r="E53" s="267"/>
      <c r="F53" s="267"/>
      <c r="G53" s="267"/>
      <c r="H53" s="370"/>
      <c r="I53" s="370"/>
      <c r="J53" s="370"/>
      <c r="K53" s="370"/>
      <c r="L53" s="370"/>
      <c r="M53" s="370"/>
      <c r="N53" s="370"/>
    </row>
    <row r="54" spans="1:14" s="252" customFormat="1" ht="24" customHeight="1">
      <c r="A54" s="267"/>
      <c r="B54" s="270" t="s">
        <v>518</v>
      </c>
      <c r="C54" s="267"/>
      <c r="D54" s="267"/>
      <c r="E54" s="267"/>
      <c r="F54" s="267"/>
      <c r="G54" s="267"/>
      <c r="H54" s="370"/>
      <c r="I54" s="370"/>
      <c r="J54" s="370"/>
      <c r="K54" s="370"/>
      <c r="L54" s="370"/>
      <c r="M54" s="370"/>
      <c r="N54" s="370"/>
    </row>
    <row r="55" spans="1:14" s="252" customFormat="1" ht="24" customHeight="1">
      <c r="A55" s="267"/>
      <c r="B55" s="305" t="s">
        <v>519</v>
      </c>
      <c r="C55" s="267"/>
      <c r="D55" s="267"/>
      <c r="E55" s="267"/>
      <c r="F55" s="267"/>
      <c r="G55" s="267"/>
      <c r="H55" s="370">
        <f>-313973897.58+281913.12</f>
        <v>-313691984.46</v>
      </c>
      <c r="I55" s="370"/>
      <c r="J55" s="370">
        <v>-11282863.87</v>
      </c>
      <c r="K55" s="370"/>
      <c r="L55" s="370">
        <v>-143329782.73</v>
      </c>
      <c r="M55" s="370"/>
      <c r="N55" s="370">
        <v>-9232863.87</v>
      </c>
    </row>
    <row r="56" spans="1:14" s="252" customFormat="1" ht="24" customHeight="1" thickBot="1">
      <c r="A56" s="267"/>
      <c r="B56" s="270" t="s">
        <v>430</v>
      </c>
      <c r="C56" s="267"/>
      <c r="D56" s="267"/>
      <c r="E56" s="267"/>
      <c r="F56" s="267"/>
      <c r="G56" s="267"/>
      <c r="H56" s="958">
        <f>SUM(H52:H55)</f>
        <v>-317021394.96999997</v>
      </c>
      <c r="I56" s="370"/>
      <c r="J56" s="958">
        <f>SUM(J52:J55)</f>
        <v>-11282863.87</v>
      </c>
      <c r="K56" s="370"/>
      <c r="L56" s="958">
        <f>SUM(L52:L55)</f>
        <v>-143329782.73</v>
      </c>
      <c r="M56" s="370"/>
      <c r="N56" s="958">
        <f>SUM(N52:N55)</f>
        <v>-9232863.87</v>
      </c>
    </row>
    <row r="57" spans="1:14" s="252" customFormat="1" ht="24" customHeight="1" thickTop="1">
      <c r="A57" s="267"/>
      <c r="B57" s="267"/>
      <c r="C57" s="267"/>
      <c r="D57" s="267"/>
      <c r="E57" s="267"/>
      <c r="F57" s="267"/>
      <c r="G57" s="267"/>
      <c r="H57" s="267"/>
      <c r="I57" s="267"/>
      <c r="J57" s="267"/>
      <c r="L57" s="267"/>
      <c r="M57" s="267"/>
      <c r="N57" s="267"/>
    </row>
    <row r="58" spans="1:15" s="252" customFormat="1" ht="24" customHeight="1">
      <c r="A58" s="297"/>
      <c r="B58" s="959" t="s">
        <v>1491</v>
      </c>
      <c r="C58" s="297"/>
      <c r="D58" s="297"/>
      <c r="E58" s="297"/>
      <c r="F58" s="297"/>
      <c r="G58" s="297"/>
      <c r="H58" s="299"/>
      <c r="I58" s="300"/>
      <c r="J58" s="299"/>
      <c r="K58" s="301"/>
      <c r="L58" s="299"/>
      <c r="M58" s="300"/>
      <c r="N58" s="299"/>
      <c r="O58" s="301"/>
    </row>
    <row r="59" spans="1:10" s="131" customFormat="1" ht="24" customHeight="1">
      <c r="A59" s="309" t="s">
        <v>1492</v>
      </c>
      <c r="B59" s="309"/>
      <c r="C59" s="309"/>
      <c r="D59" s="309"/>
      <c r="E59" s="309"/>
      <c r="F59" s="309"/>
      <c r="G59" s="309"/>
      <c r="H59" s="309"/>
      <c r="I59" s="309"/>
      <c r="J59" s="309"/>
    </row>
    <row r="60" spans="1:14" s="11" customFormat="1" ht="24" customHeight="1">
      <c r="A60" s="261"/>
      <c r="B60" s="15"/>
      <c r="C60" s="15"/>
      <c r="D60" s="15"/>
      <c r="E60" s="15"/>
      <c r="F60" s="15"/>
      <c r="G60" s="15"/>
      <c r="H60" s="15"/>
      <c r="I60" s="15"/>
      <c r="J60" s="15"/>
      <c r="L60" s="15"/>
      <c r="M60" s="15"/>
      <c r="N60" s="331" t="s">
        <v>214</v>
      </c>
    </row>
    <row r="61" spans="1:13" s="11" customFormat="1" ht="24" customHeight="1">
      <c r="A61" s="15"/>
      <c r="B61" s="15"/>
      <c r="C61" s="15"/>
      <c r="D61" s="15"/>
      <c r="E61" s="15"/>
      <c r="F61" s="15"/>
      <c r="G61" s="15"/>
      <c r="H61" s="262"/>
      <c r="I61" s="252"/>
      <c r="J61" s="957" t="s">
        <v>1171</v>
      </c>
      <c r="L61" s="262"/>
      <c r="M61" s="252"/>
    </row>
    <row r="62" spans="1:14" s="11" customFormat="1" ht="24" customHeight="1">
      <c r="A62" s="15"/>
      <c r="B62" s="15"/>
      <c r="C62" s="15"/>
      <c r="D62" s="15"/>
      <c r="E62" s="15"/>
      <c r="F62" s="15"/>
      <c r="G62" s="15"/>
      <c r="H62" s="957" t="s">
        <v>541</v>
      </c>
      <c r="I62" s="264"/>
      <c r="J62" s="957" t="s">
        <v>1172</v>
      </c>
      <c r="L62" s="263"/>
      <c r="M62" s="264" t="s">
        <v>126</v>
      </c>
      <c r="N62" s="255"/>
    </row>
    <row r="63" spans="1:14" s="11" customFormat="1" ht="24" customHeight="1">
      <c r="A63" s="15"/>
      <c r="B63" s="15"/>
      <c r="C63" s="15"/>
      <c r="D63" s="15"/>
      <c r="E63" s="15"/>
      <c r="F63" s="15"/>
      <c r="G63" s="15"/>
      <c r="H63" s="957"/>
      <c r="I63" s="264"/>
      <c r="J63" s="957" t="s">
        <v>1173</v>
      </c>
      <c r="L63" s="263"/>
      <c r="M63" s="264"/>
      <c r="N63" s="255"/>
    </row>
    <row r="64" spans="1:15" s="252" customFormat="1" ht="24" customHeight="1">
      <c r="A64" s="297"/>
      <c r="B64" s="267"/>
      <c r="C64" s="267"/>
      <c r="D64" s="267"/>
      <c r="E64" s="267"/>
      <c r="F64" s="267"/>
      <c r="G64" s="267"/>
      <c r="H64" s="265" t="s">
        <v>1454</v>
      </c>
      <c r="I64" s="266"/>
      <c r="J64" s="265" t="s">
        <v>754</v>
      </c>
      <c r="K64" s="11"/>
      <c r="L64" s="265" t="s">
        <v>1454</v>
      </c>
      <c r="M64" s="266"/>
      <c r="N64" s="265" t="s">
        <v>754</v>
      </c>
      <c r="O64" s="301"/>
    </row>
    <row r="65" spans="1:17" s="252" customFormat="1" ht="24" customHeight="1">
      <c r="A65" s="297"/>
      <c r="B65" s="270" t="s">
        <v>512</v>
      </c>
      <c r="C65" s="267"/>
      <c r="D65" s="267"/>
      <c r="E65" s="267"/>
      <c r="F65" s="267"/>
      <c r="G65" s="267"/>
      <c r="H65" s="370">
        <v>3487553740.540001</v>
      </c>
      <c r="I65" s="370"/>
      <c r="J65" s="370">
        <v>1708938731.4099994</v>
      </c>
      <c r="K65" s="370"/>
      <c r="L65" s="370">
        <v>1699693424.6799994</v>
      </c>
      <c r="M65" s="370"/>
      <c r="N65" s="370">
        <v>793162739.59</v>
      </c>
      <c r="O65" s="301"/>
      <c r="Q65" s="271"/>
    </row>
    <row r="66" spans="1:15" s="252" customFormat="1" ht="24" customHeight="1">
      <c r="A66" s="297"/>
      <c r="B66" s="270" t="s">
        <v>513</v>
      </c>
      <c r="C66" s="267"/>
      <c r="D66" s="267"/>
      <c r="E66" s="267"/>
      <c r="F66" s="267"/>
      <c r="G66" s="267"/>
      <c r="H66" s="302">
        <v>0.2</v>
      </c>
      <c r="I66" s="272"/>
      <c r="J66" s="302">
        <v>0.2</v>
      </c>
      <c r="K66" s="301"/>
      <c r="L66" s="302">
        <v>0.2</v>
      </c>
      <c r="M66" s="272"/>
      <c r="N66" s="302">
        <v>0.2</v>
      </c>
      <c r="O66" s="301"/>
    </row>
    <row r="67" spans="1:15" s="252" customFormat="1" ht="24" customHeight="1">
      <c r="A67" s="297"/>
      <c r="B67" s="270" t="s">
        <v>520</v>
      </c>
      <c r="C67" s="267"/>
      <c r="D67" s="267"/>
      <c r="E67" s="267"/>
      <c r="F67" s="267"/>
      <c r="G67" s="267"/>
      <c r="H67" s="370">
        <f>ROUND(H65*H66,2)</f>
        <v>697510748.11</v>
      </c>
      <c r="I67" s="370"/>
      <c r="J67" s="370">
        <f>ROUND(J65*J66,2)</f>
        <v>341787746.28</v>
      </c>
      <c r="K67" s="370"/>
      <c r="L67" s="370">
        <f>ROUND(L65*L66,2)</f>
        <v>339938684.94</v>
      </c>
      <c r="M67" s="370"/>
      <c r="N67" s="370">
        <f>ROUND(N65*N66,2)</f>
        <v>158632547.92</v>
      </c>
      <c r="O67" s="301"/>
    </row>
    <row r="68" spans="1:15" s="252" customFormat="1" ht="24" customHeight="1">
      <c r="A68" s="297"/>
      <c r="B68" s="270"/>
      <c r="C68" s="267"/>
      <c r="D68" s="267"/>
      <c r="E68" s="267"/>
      <c r="F68" s="267"/>
      <c r="G68" s="267"/>
      <c r="H68" s="272"/>
      <c r="I68" s="272"/>
      <c r="J68" s="272"/>
      <c r="K68" s="301"/>
      <c r="L68" s="272"/>
      <c r="M68" s="272"/>
      <c r="N68" s="272"/>
      <c r="O68" s="301"/>
    </row>
    <row r="69" spans="1:15" s="252" customFormat="1" ht="24" customHeight="1">
      <c r="A69" s="297"/>
      <c r="B69" s="270" t="s">
        <v>514</v>
      </c>
      <c r="C69" s="267"/>
      <c r="D69" s="267"/>
      <c r="E69" s="267"/>
      <c r="F69" s="267"/>
      <c r="G69" s="267"/>
      <c r="H69" s="272"/>
      <c r="I69" s="272"/>
      <c r="J69" s="272"/>
      <c r="K69" s="301"/>
      <c r="L69" s="272"/>
      <c r="M69" s="272"/>
      <c r="N69" s="272"/>
      <c r="O69" s="301"/>
    </row>
    <row r="70" spans="1:15" s="252" customFormat="1" ht="24" customHeight="1">
      <c r="A70" s="297"/>
      <c r="B70" s="303" t="s">
        <v>516</v>
      </c>
      <c r="C70" s="267"/>
      <c r="D70" s="267"/>
      <c r="E70" s="267"/>
      <c r="F70" s="267"/>
      <c r="G70" s="267"/>
      <c r="H70" s="370">
        <f>5054386.94-0.11</f>
        <v>5054386.83</v>
      </c>
      <c r="I70" s="370"/>
      <c r="J70" s="370">
        <v>3125414.23</v>
      </c>
      <c r="K70" s="370"/>
      <c r="L70" s="370">
        <v>4866425.2</v>
      </c>
      <c r="M70" s="370"/>
      <c r="N70" s="370">
        <v>2761586.03</v>
      </c>
      <c r="O70" s="301"/>
    </row>
    <row r="71" spans="1:15" s="252" customFormat="1" ht="24" customHeight="1">
      <c r="A71" s="297"/>
      <c r="B71" s="303" t="s">
        <v>515</v>
      </c>
      <c r="C71" s="267"/>
      <c r="D71" s="267"/>
      <c r="E71" s="267"/>
      <c r="F71" s="267"/>
      <c r="G71" s="267"/>
      <c r="H71" s="370">
        <v>-381970138.14</v>
      </c>
      <c r="I71" s="370"/>
      <c r="J71" s="370">
        <v>-356841862.03</v>
      </c>
      <c r="K71" s="370"/>
      <c r="L71" s="370">
        <v>-197901725.58</v>
      </c>
      <c r="M71" s="370"/>
      <c r="N71" s="370">
        <v>-175372835.47</v>
      </c>
      <c r="O71" s="301"/>
    </row>
    <row r="72" spans="1:15" s="252" customFormat="1" ht="24" customHeight="1">
      <c r="A72" s="297"/>
      <c r="B72" s="303" t="s">
        <v>517</v>
      </c>
      <c r="C72" s="267"/>
      <c r="D72" s="267"/>
      <c r="E72" s="267"/>
      <c r="F72" s="267"/>
      <c r="G72" s="267"/>
      <c r="H72" s="370"/>
      <c r="I72" s="370"/>
      <c r="J72" s="370"/>
      <c r="K72" s="370"/>
      <c r="L72" s="370"/>
      <c r="M72" s="370"/>
      <c r="N72" s="370"/>
      <c r="O72" s="301"/>
    </row>
    <row r="73" spans="1:15" s="252" customFormat="1" ht="24" customHeight="1">
      <c r="A73" s="297"/>
      <c r="B73" s="303"/>
      <c r="C73" s="270" t="s">
        <v>1909</v>
      </c>
      <c r="D73" s="267"/>
      <c r="E73" s="267"/>
      <c r="F73" s="267"/>
      <c r="G73" s="267"/>
      <c r="H73" s="370">
        <v>-3573601.83</v>
      </c>
      <c r="I73" s="370"/>
      <c r="J73" s="370">
        <v>23211565.39</v>
      </c>
      <c r="K73" s="370"/>
      <c r="L73" s="370">
        <v>-3573601.83</v>
      </c>
      <c r="M73" s="370"/>
      <c r="N73" s="370">
        <v>23211565.39</v>
      </c>
      <c r="O73" s="301"/>
    </row>
    <row r="74" spans="1:15" s="252" customFormat="1" ht="24" customHeight="1" thickBot="1">
      <c r="A74" s="297"/>
      <c r="B74" s="270"/>
      <c r="C74" s="270" t="s">
        <v>212</v>
      </c>
      <c r="D74" s="267"/>
      <c r="E74" s="267"/>
      <c r="F74" s="267"/>
      <c r="G74" s="267"/>
      <c r="H74" s="958">
        <f>SUM(H70:H73)</f>
        <v>-380489353.14</v>
      </c>
      <c r="I74" s="370"/>
      <c r="J74" s="958">
        <f>SUM(J70:J73)</f>
        <v>-330504882.40999997</v>
      </c>
      <c r="K74" s="370"/>
      <c r="L74" s="958">
        <f>SUM(L70:L73)</f>
        <v>-196608902.21000004</v>
      </c>
      <c r="M74" s="370"/>
      <c r="N74" s="958">
        <f>SUM(N70:N73)</f>
        <v>-149399684.05</v>
      </c>
      <c r="O74" s="301"/>
    </row>
    <row r="75" spans="1:15" s="252" customFormat="1" ht="24" customHeight="1" thickTop="1">
      <c r="A75" s="297"/>
      <c r="B75" s="270"/>
      <c r="C75" s="297"/>
      <c r="D75" s="297"/>
      <c r="E75" s="297"/>
      <c r="F75" s="297"/>
      <c r="G75" s="297"/>
      <c r="H75" s="299"/>
      <c r="I75" s="300"/>
      <c r="J75" s="299"/>
      <c r="K75" s="301"/>
      <c r="L75" s="1126"/>
      <c r="M75" s="300"/>
      <c r="N75" s="299"/>
      <c r="O75" s="301"/>
    </row>
    <row r="76" spans="1:15" s="252" customFormat="1" ht="24" customHeight="1">
      <c r="A76" s="297"/>
      <c r="B76" s="270" t="s">
        <v>81</v>
      </c>
      <c r="C76" s="297"/>
      <c r="D76" s="297"/>
      <c r="E76" s="297"/>
      <c r="F76" s="297"/>
      <c r="G76" s="297"/>
      <c r="O76" s="301"/>
    </row>
    <row r="77" spans="1:15" s="252" customFormat="1" ht="24" customHeight="1">
      <c r="A77" s="297"/>
      <c r="B77" s="303" t="s">
        <v>431</v>
      </c>
      <c r="C77" s="297"/>
      <c r="D77" s="297"/>
      <c r="E77" s="297"/>
      <c r="F77" s="297"/>
      <c r="G77" s="297"/>
      <c r="H77" s="370">
        <f>H67+H74</f>
        <v>317021394.97</v>
      </c>
      <c r="I77" s="370"/>
      <c r="J77" s="370">
        <f>J67+J74</f>
        <v>11282863.870000005</v>
      </c>
      <c r="K77" s="370"/>
      <c r="L77" s="370">
        <f>L67+L74</f>
        <v>143329782.72999996</v>
      </c>
      <c r="M77" s="370"/>
      <c r="N77" s="370">
        <f>N67+N74</f>
        <v>9232863.869999975</v>
      </c>
      <c r="O77" s="301"/>
    </row>
    <row r="78" spans="1:15" s="252" customFormat="1" ht="24" customHeight="1">
      <c r="A78" s="297"/>
      <c r="B78" s="298" t="s">
        <v>82</v>
      </c>
      <c r="C78" s="297"/>
      <c r="D78" s="297"/>
      <c r="E78" s="297"/>
      <c r="F78" s="297"/>
      <c r="G78" s="297"/>
      <c r="H78" s="332">
        <f>H77/H65</f>
        <v>0.09090079137272693</v>
      </c>
      <c r="I78" s="300"/>
      <c r="J78" s="332">
        <f>J77/J65</f>
        <v>0.0066022635350366345</v>
      </c>
      <c r="K78" s="301"/>
      <c r="L78" s="332">
        <f>L77/L65</f>
        <v>0.0843268442701569</v>
      </c>
      <c r="M78" s="300"/>
      <c r="N78" s="332">
        <f>N77/N65</f>
        <v>0.011640566820842602</v>
      </c>
      <c r="O78" s="301"/>
    </row>
    <row r="79" spans="1:15" s="252" customFormat="1" ht="24" customHeight="1">
      <c r="A79" s="297"/>
      <c r="B79" s="298"/>
      <c r="C79" s="297"/>
      <c r="D79" s="297"/>
      <c r="E79" s="297"/>
      <c r="F79" s="297"/>
      <c r="G79" s="297"/>
      <c r="H79" s="304"/>
      <c r="I79" s="300"/>
      <c r="J79" s="304"/>
      <c r="K79" s="301"/>
      <c r="L79" s="304"/>
      <c r="M79" s="300"/>
      <c r="N79" s="304"/>
      <c r="O79" s="301"/>
    </row>
    <row r="80" spans="1:15" s="252" customFormat="1" ht="24" customHeight="1">
      <c r="A80" s="297"/>
      <c r="B80" s="298"/>
      <c r="C80" s="297"/>
      <c r="D80" s="297"/>
      <c r="E80" s="297"/>
      <c r="F80" s="297"/>
      <c r="G80" s="297"/>
      <c r="H80" s="271"/>
      <c r="I80" s="300"/>
      <c r="J80" s="271"/>
      <c r="K80" s="301"/>
      <c r="L80" s="271"/>
      <c r="M80" s="300"/>
      <c r="N80" s="271"/>
      <c r="O80" s="301"/>
    </row>
    <row r="81" spans="1:15" s="252" customFormat="1" ht="24" customHeight="1">
      <c r="A81" s="297"/>
      <c r="B81" s="298"/>
      <c r="C81" s="297"/>
      <c r="D81" s="297"/>
      <c r="E81" s="297"/>
      <c r="F81" s="297"/>
      <c r="G81" s="297"/>
      <c r="H81" s="299"/>
      <c r="I81" s="300"/>
      <c r="J81" s="299"/>
      <c r="K81" s="301"/>
      <c r="L81" s="299"/>
      <c r="M81" s="300"/>
      <c r="N81" s="299"/>
      <c r="O81" s="301"/>
    </row>
    <row r="82" spans="1:15" s="252" customFormat="1" ht="24" customHeight="1">
      <c r="A82" s="24" t="s">
        <v>501</v>
      </c>
      <c r="B82" s="24"/>
      <c r="C82" s="24"/>
      <c r="D82" s="24"/>
      <c r="E82" s="24"/>
      <c r="F82" s="24"/>
      <c r="G82" s="24"/>
      <c r="H82" s="24"/>
      <c r="I82" s="24"/>
      <c r="J82" s="24"/>
      <c r="K82" s="49"/>
      <c r="L82" s="24"/>
      <c r="M82" s="24"/>
      <c r="N82" s="24"/>
      <c r="O82" s="49"/>
    </row>
    <row r="83" spans="1:15" s="252" customFormat="1" ht="24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49"/>
      <c r="L83" s="24"/>
      <c r="M83" s="24"/>
      <c r="N83" s="24"/>
      <c r="O83" s="275"/>
    </row>
  </sheetData>
  <sheetProtection/>
  <printOptions horizontalCentered="1"/>
  <pageMargins left="0.5905511811023623" right="0.15748031496062992" top="0.5905511811023623" bottom="0.3937007874015748" header="0.2362204724409449" footer="0.1968503937007874"/>
  <pageSetup horizontalDpi="600" verticalDpi="600" orientation="portrait" paperSize="9" scale="76" r:id="rId1"/>
  <rowBreaks count="1" manualBreakCount="1">
    <brk id="41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85" zoomScalePageLayoutView="0" workbookViewId="0" topLeftCell="A1">
      <selection activeCell="A2" sqref="A2"/>
    </sheetView>
  </sheetViews>
  <sheetFormatPr defaultColWidth="9.140625" defaultRowHeight="24" customHeight="1"/>
  <cols>
    <col min="1" max="1" width="6.00390625" style="14" customWidth="1"/>
    <col min="2" max="2" width="11.57421875" style="14" customWidth="1"/>
    <col min="3" max="3" width="12.140625" style="14" customWidth="1"/>
    <col min="4" max="4" width="20.7109375" style="14" customWidth="1"/>
    <col min="5" max="5" width="1.421875" style="14" customWidth="1"/>
    <col min="6" max="6" width="20.28125" style="42" customWidth="1"/>
    <col min="7" max="7" width="1.7109375" style="14" customWidth="1"/>
    <col min="8" max="8" width="20.28125" style="14" customWidth="1"/>
    <col min="9" max="9" width="1.7109375" style="14" customWidth="1"/>
    <col min="10" max="10" width="19.8515625" style="14" customWidth="1"/>
    <col min="11" max="11" width="1.28515625" style="14" customWidth="1"/>
    <col min="12" max="12" width="2.00390625" style="14" customWidth="1"/>
    <col min="13" max="16384" width="9.140625" style="14" customWidth="1"/>
  </cols>
  <sheetData>
    <row r="1" spans="1:12" s="11" customFormat="1" ht="24.75" customHeight="1">
      <c r="A1" s="960" t="s">
        <v>1634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</row>
    <row r="2" spans="1:10" s="11" customFormat="1" ht="23.2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8" s="128" customFormat="1" ht="24" customHeight="1">
      <c r="A3" s="917" t="s">
        <v>1749</v>
      </c>
      <c r="B3" s="817"/>
      <c r="C3" s="817"/>
      <c r="D3" s="817"/>
      <c r="E3" s="817"/>
      <c r="F3" s="817"/>
      <c r="G3" s="817"/>
      <c r="H3" s="817"/>
    </row>
    <row r="4" spans="1:8" s="128" customFormat="1" ht="24" customHeight="1">
      <c r="A4" s="437"/>
      <c r="B4" s="309" t="s">
        <v>1493</v>
      </c>
      <c r="C4" s="817"/>
      <c r="D4" s="817"/>
      <c r="E4" s="817"/>
      <c r="F4" s="817"/>
      <c r="G4" s="817"/>
      <c r="H4" s="817"/>
    </row>
    <row r="5" spans="1:8" s="128" customFormat="1" ht="24" customHeight="1">
      <c r="A5" s="309" t="s">
        <v>1494</v>
      </c>
      <c r="B5" s="309"/>
      <c r="C5" s="817"/>
      <c r="D5" s="817"/>
      <c r="E5" s="817"/>
      <c r="F5" s="817"/>
      <c r="G5" s="817"/>
      <c r="H5" s="817"/>
    </row>
    <row r="6" spans="1:8" s="128" customFormat="1" ht="24" customHeight="1">
      <c r="A6" s="309" t="s">
        <v>1495</v>
      </c>
      <c r="B6" s="309"/>
      <c r="C6" s="817"/>
      <c r="D6" s="817"/>
      <c r="E6" s="817"/>
      <c r="F6" s="817"/>
      <c r="G6" s="817"/>
      <c r="H6" s="817"/>
    </row>
    <row r="7" spans="1:2" s="128" customFormat="1" ht="24" customHeight="1">
      <c r="A7" s="309" t="s">
        <v>1496</v>
      </c>
      <c r="B7" s="309"/>
    </row>
    <row r="8" ht="13.5" customHeight="1"/>
    <row r="9" spans="1:10" s="11" customFormat="1" ht="24.75" customHeight="1">
      <c r="A9" s="63" t="s">
        <v>1750</v>
      </c>
      <c r="B9" s="64"/>
      <c r="C9" s="15"/>
      <c r="D9" s="15"/>
      <c r="E9" s="15"/>
      <c r="F9" s="15"/>
      <c r="G9" s="15"/>
      <c r="H9" s="15"/>
      <c r="I9" s="15"/>
      <c r="J9" s="15"/>
    </row>
    <row r="10" spans="1:8" s="11" customFormat="1" ht="22.5" customHeight="1">
      <c r="A10" s="15"/>
      <c r="B10" s="64" t="s">
        <v>648</v>
      </c>
      <c r="C10" s="64"/>
      <c r="D10" s="64"/>
      <c r="E10" s="64"/>
      <c r="F10" s="65"/>
      <c r="G10" s="64"/>
      <c r="H10" s="65"/>
    </row>
    <row r="11" spans="1:10" s="131" customFormat="1" ht="23.25" customHeight="1">
      <c r="A11" s="309"/>
      <c r="B11" s="961"/>
      <c r="C11" s="961"/>
      <c r="D11" s="961"/>
      <c r="E11" s="961"/>
      <c r="F11" s="262"/>
      <c r="G11" s="961"/>
      <c r="H11" s="262"/>
      <c r="J11" s="331" t="s">
        <v>214</v>
      </c>
    </row>
    <row r="12" spans="1:10" s="131" customFormat="1" ht="23.25" customHeight="1">
      <c r="A12" s="309"/>
      <c r="B12" s="961"/>
      <c r="C12" s="961"/>
      <c r="D12" s="957"/>
      <c r="E12" s="59"/>
      <c r="F12" s="957" t="s">
        <v>1171</v>
      </c>
      <c r="G12" s="962"/>
      <c r="H12" s="834"/>
      <c r="I12" s="59"/>
      <c r="J12" s="1089"/>
    </row>
    <row r="13" spans="1:10" s="131" customFormat="1" ht="23.25" customHeight="1">
      <c r="A13" s="309"/>
      <c r="B13" s="961"/>
      <c r="C13" s="961"/>
      <c r="D13" s="957" t="s">
        <v>541</v>
      </c>
      <c r="E13" s="59"/>
      <c r="F13" s="957" t="s">
        <v>1172</v>
      </c>
      <c r="G13" s="962"/>
      <c r="H13" s="963" t="s">
        <v>126</v>
      </c>
      <c r="I13" s="964"/>
      <c r="J13" s="963"/>
    </row>
    <row r="14" spans="1:10" s="131" customFormat="1" ht="23.25" customHeight="1">
      <c r="A14" s="309"/>
      <c r="B14" s="961"/>
      <c r="C14" s="961"/>
      <c r="D14" s="853"/>
      <c r="E14" s="965"/>
      <c r="F14" s="853" t="s">
        <v>1173</v>
      </c>
      <c r="G14" s="962"/>
      <c r="H14" s="839"/>
      <c r="I14" s="965"/>
      <c r="J14" s="966"/>
    </row>
    <row r="15" spans="1:10" s="131" customFormat="1" ht="23.25" customHeight="1">
      <c r="A15" s="309"/>
      <c r="B15" s="961"/>
      <c r="C15" s="961"/>
      <c r="D15" s="57" t="s">
        <v>898</v>
      </c>
      <c r="E15" s="46"/>
      <c r="F15" s="57" t="s">
        <v>747</v>
      </c>
      <c r="G15" s="834"/>
      <c r="H15" s="57" t="s">
        <v>898</v>
      </c>
      <c r="I15" s="46"/>
      <c r="J15" s="57" t="s">
        <v>747</v>
      </c>
    </row>
    <row r="16" spans="1:10" s="131" customFormat="1" ht="23.25" customHeight="1">
      <c r="A16" s="961" t="s">
        <v>111</v>
      </c>
      <c r="B16" s="961"/>
      <c r="D16" s="953">
        <v>1436962655.36</v>
      </c>
      <c r="E16" s="953"/>
      <c r="F16" s="953">
        <v>1441854519.87</v>
      </c>
      <c r="G16" s="953"/>
      <c r="H16" s="953">
        <v>1436962655.36</v>
      </c>
      <c r="I16" s="953"/>
      <c r="J16" s="953">
        <v>1441854519.87</v>
      </c>
    </row>
    <row r="17" spans="1:10" s="131" customFormat="1" ht="23.25" customHeight="1">
      <c r="A17" s="961" t="s">
        <v>331</v>
      </c>
      <c r="B17" s="961"/>
      <c r="D17" s="953">
        <v>355017318.08</v>
      </c>
      <c r="E17" s="953"/>
      <c r="F17" s="953">
        <v>325626346.48</v>
      </c>
      <c r="G17" s="953"/>
      <c r="H17" s="953">
        <v>355017318.08</v>
      </c>
      <c r="I17" s="953"/>
      <c r="J17" s="953">
        <v>325626346.48</v>
      </c>
    </row>
    <row r="18" spans="1:10" s="131" customFormat="1" ht="23.25" customHeight="1">
      <c r="A18" s="961" t="s">
        <v>150</v>
      </c>
      <c r="B18" s="961"/>
      <c r="D18" s="953">
        <v>72900139.14</v>
      </c>
      <c r="E18" s="953"/>
      <c r="F18" s="953">
        <v>74667919.91</v>
      </c>
      <c r="G18" s="953"/>
      <c r="H18" s="953">
        <v>72900139.14</v>
      </c>
      <c r="I18" s="953"/>
      <c r="J18" s="953">
        <v>74667919.91</v>
      </c>
    </row>
    <row r="19" spans="1:10" s="131" customFormat="1" ht="23.25" customHeight="1">
      <c r="A19" s="961" t="s">
        <v>109</v>
      </c>
      <c r="B19" s="961"/>
      <c r="D19" s="953">
        <v>46755799.64</v>
      </c>
      <c r="E19" s="953"/>
      <c r="F19" s="953">
        <v>47956414.4</v>
      </c>
      <c r="G19" s="953"/>
      <c r="H19" s="953">
        <v>46755799.64</v>
      </c>
      <c r="I19" s="953"/>
      <c r="J19" s="953">
        <v>47956414.4</v>
      </c>
    </row>
    <row r="20" spans="1:10" s="131" customFormat="1" ht="23.25" customHeight="1">
      <c r="A20" s="961" t="s">
        <v>151</v>
      </c>
      <c r="B20" s="961"/>
      <c r="D20" s="953">
        <v>53858867.14</v>
      </c>
      <c r="E20" s="953"/>
      <c r="F20" s="953">
        <v>64462363.93</v>
      </c>
      <c r="G20" s="953"/>
      <c r="H20" s="953">
        <v>53858867.14</v>
      </c>
      <c r="I20" s="953"/>
      <c r="J20" s="953">
        <v>64462363.93</v>
      </c>
    </row>
    <row r="21" spans="1:10" s="131" customFormat="1" ht="23.25" customHeight="1">
      <c r="A21" s="961" t="s">
        <v>112</v>
      </c>
      <c r="B21" s="961"/>
      <c r="D21" s="953">
        <f>131565759.45+46246045.53</f>
        <v>177811804.98000002</v>
      </c>
      <c r="E21" s="953"/>
      <c r="F21" s="953">
        <v>154294808.69</v>
      </c>
      <c r="G21" s="953"/>
      <c r="H21" s="953">
        <v>158536016</v>
      </c>
      <c r="I21" s="953"/>
      <c r="J21" s="953">
        <v>154294808.69</v>
      </c>
    </row>
    <row r="22" spans="1:10" s="131" customFormat="1" ht="23.25" customHeight="1">
      <c r="A22" s="961" t="s">
        <v>113</v>
      </c>
      <c r="B22" s="961"/>
      <c r="D22" s="953">
        <f>143796226.9+50087628.75</f>
        <v>193883855.65</v>
      </c>
      <c r="E22" s="953"/>
      <c r="F22" s="953">
        <v>179722829.68</v>
      </c>
      <c r="G22" s="953"/>
      <c r="H22" s="953">
        <v>193464966.75000003</v>
      </c>
      <c r="I22" s="953"/>
      <c r="J22" s="953">
        <v>179722829.68</v>
      </c>
    </row>
    <row r="23" spans="1:10" s="131" customFormat="1" ht="23.25" customHeight="1">
      <c r="A23" s="961" t="s">
        <v>1497</v>
      </c>
      <c r="B23" s="961"/>
      <c r="D23" s="953"/>
      <c r="E23" s="953"/>
      <c r="F23" s="953"/>
      <c r="G23" s="953"/>
      <c r="H23" s="953"/>
      <c r="I23" s="953"/>
      <c r="J23" s="953"/>
    </row>
    <row r="24" spans="1:10" s="131" customFormat="1" ht="23.25" customHeight="1">
      <c r="A24" s="961"/>
      <c r="B24" s="961" t="s">
        <v>1498</v>
      </c>
      <c r="D24" s="953">
        <f>39520347.35+13968631.47</f>
        <v>53488978.82</v>
      </c>
      <c r="E24" s="953"/>
      <c r="F24" s="953">
        <v>51485288.81</v>
      </c>
      <c r="G24" s="953"/>
      <c r="H24" s="953">
        <v>52773319.129999995</v>
      </c>
      <c r="I24" s="953"/>
      <c r="J24" s="953">
        <v>51485288.81</v>
      </c>
    </row>
    <row r="25" spans="1:10" s="131" customFormat="1" ht="23.25" customHeight="1">
      <c r="A25" s="961" t="s">
        <v>395</v>
      </c>
      <c r="B25" s="961"/>
      <c r="D25" s="953">
        <f>41242043+24265741</f>
        <v>65507784</v>
      </c>
      <c r="E25" s="953"/>
      <c r="F25" s="953">
        <v>56999361.44</v>
      </c>
      <c r="G25" s="953"/>
      <c r="H25" s="953">
        <v>63643408.25</v>
      </c>
      <c r="I25" s="953"/>
      <c r="J25" s="953">
        <v>56999361.44</v>
      </c>
    </row>
    <row r="26" spans="1:10" s="131" customFormat="1" ht="23.25" customHeight="1">
      <c r="A26" s="961" t="s">
        <v>396</v>
      </c>
      <c r="B26" s="961"/>
      <c r="D26" s="953">
        <f>2424280+12430000</f>
        <v>14854280</v>
      </c>
      <c r="E26" s="953"/>
      <c r="F26" s="953">
        <v>12824000</v>
      </c>
      <c r="G26" s="953"/>
      <c r="H26" s="953">
        <v>14269280</v>
      </c>
      <c r="I26" s="953"/>
      <c r="J26" s="953">
        <v>12824000</v>
      </c>
    </row>
    <row r="27" spans="1:12" s="11" customFormat="1" ht="23.25">
      <c r="A27" s="64"/>
      <c r="B27" s="64"/>
      <c r="D27" s="362"/>
      <c r="E27" s="72"/>
      <c r="F27" s="362"/>
      <c r="G27" s="71"/>
      <c r="H27" s="362"/>
      <c r="I27" s="72"/>
      <c r="J27" s="362"/>
      <c r="L27" s="109"/>
    </row>
    <row r="28" spans="1:12" s="17" customFormat="1" ht="24.75" customHeight="1">
      <c r="A28" s="34" t="s">
        <v>1751</v>
      </c>
      <c r="C28" s="107"/>
      <c r="D28" s="112"/>
      <c r="E28" s="72"/>
      <c r="F28" s="112"/>
      <c r="G28" s="111"/>
      <c r="H28" s="109"/>
      <c r="I28" s="79"/>
      <c r="J28" s="80"/>
      <c r="L28" s="109"/>
    </row>
    <row r="29" spans="2:12" s="17" customFormat="1" ht="24.75" customHeight="1">
      <c r="B29" s="35" t="s">
        <v>649</v>
      </c>
      <c r="C29" s="107"/>
      <c r="F29" s="11"/>
      <c r="G29" s="107"/>
      <c r="H29" s="110"/>
      <c r="J29" s="11"/>
      <c r="L29" s="109"/>
    </row>
    <row r="30" spans="1:10" s="17" customFormat="1" ht="24.75" customHeight="1">
      <c r="A30" s="17" t="s">
        <v>1499</v>
      </c>
      <c r="C30" s="107"/>
      <c r="F30" s="11"/>
      <c r="G30" s="107"/>
      <c r="H30" s="109"/>
      <c r="J30" s="11"/>
    </row>
    <row r="31" ht="13.5" customHeight="1"/>
    <row r="32" spans="1:10" s="17" customFormat="1" ht="24.75" customHeight="1">
      <c r="A32" s="34" t="s">
        <v>1752</v>
      </c>
      <c r="C32" s="107"/>
      <c r="F32" s="11"/>
      <c r="G32" s="107"/>
      <c r="H32" s="108"/>
      <c r="J32" s="11"/>
    </row>
    <row r="33" spans="2:10" s="17" customFormat="1" ht="24.75" customHeight="1">
      <c r="B33" s="35" t="s">
        <v>650</v>
      </c>
      <c r="C33" s="107"/>
      <c r="F33" s="11"/>
      <c r="G33" s="107"/>
      <c r="H33" s="108"/>
      <c r="J33" s="11"/>
    </row>
    <row r="34" spans="1:10" s="17" customFormat="1" ht="24.75" customHeight="1">
      <c r="A34" s="17" t="s">
        <v>1500</v>
      </c>
      <c r="C34" s="107"/>
      <c r="F34" s="11"/>
      <c r="G34" s="107"/>
      <c r="H34" s="11"/>
      <c r="J34" s="11"/>
    </row>
    <row r="35" ht="13.5" customHeight="1"/>
    <row r="36" spans="1:8" s="58" customFormat="1" ht="24.75" customHeight="1">
      <c r="A36" s="61" t="s">
        <v>1753</v>
      </c>
      <c r="B36" s="32"/>
      <c r="C36" s="32"/>
      <c r="D36" s="32"/>
      <c r="E36" s="32"/>
      <c r="F36" s="32"/>
      <c r="G36" s="32"/>
      <c r="H36" s="62"/>
    </row>
    <row r="37" spans="1:8" s="33" customFormat="1" ht="24.75" customHeight="1">
      <c r="A37" s="32" t="s">
        <v>139</v>
      </c>
      <c r="B37" s="32" t="s">
        <v>651</v>
      </c>
      <c r="D37" s="60"/>
      <c r="E37" s="60"/>
      <c r="F37" s="60"/>
      <c r="G37" s="60"/>
      <c r="H37" s="60"/>
    </row>
    <row r="38" spans="1:8" s="33" customFormat="1" ht="24.75" customHeight="1">
      <c r="A38" s="32" t="s">
        <v>1501</v>
      </c>
      <c r="B38" s="60"/>
      <c r="C38" s="60"/>
      <c r="D38" s="60"/>
      <c r="E38" s="60"/>
      <c r="F38" s="60"/>
      <c r="G38" s="60"/>
      <c r="H38" s="60"/>
    </row>
    <row r="39" spans="1:8" s="33" customFormat="1" ht="24.75" customHeight="1">
      <c r="A39" s="32"/>
      <c r="B39" s="60"/>
      <c r="C39" s="60"/>
      <c r="D39" s="60"/>
      <c r="E39" s="60"/>
      <c r="F39" s="60"/>
      <c r="G39" s="60"/>
      <c r="H39" s="60"/>
    </row>
    <row r="40" spans="1:12" s="276" customFormat="1" ht="22.5" customHeight="1">
      <c r="A40" s="251" t="s">
        <v>501</v>
      </c>
      <c r="B40" s="273"/>
      <c r="C40" s="267"/>
      <c r="D40" s="267"/>
      <c r="E40" s="267"/>
      <c r="F40" s="267"/>
      <c r="G40" s="267"/>
      <c r="H40" s="267"/>
      <c r="I40" s="267"/>
      <c r="J40" s="274"/>
      <c r="K40" s="273"/>
      <c r="L40" s="273"/>
    </row>
  </sheetData>
  <sheetProtection/>
  <printOptions horizontalCentered="1"/>
  <pageMargins left="0.5905511811023623" right="0.15748031496062992" top="0.5905511811023623" bottom="0.3937007874015748" header="0.2362204724409449" footer="0.196850393700787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9"/>
  <sheetViews>
    <sheetView zoomScaleSheetLayoutView="100" workbookViewId="0" topLeftCell="A10">
      <selection activeCell="G10" sqref="G10"/>
    </sheetView>
  </sheetViews>
  <sheetFormatPr defaultColWidth="9.140625" defaultRowHeight="24.75" customHeight="1"/>
  <cols>
    <col min="1" max="1" width="6.00390625" style="524" customWidth="1"/>
    <col min="2" max="2" width="13.57421875" style="524" customWidth="1"/>
    <col min="3" max="3" width="22.00390625" style="524" customWidth="1"/>
    <col min="4" max="4" width="18.421875" style="524" customWidth="1"/>
    <col min="5" max="5" width="0.85546875" style="524" customWidth="1"/>
    <col min="6" max="6" width="18.421875" style="1008" bestFit="1" customWidth="1"/>
    <col min="7" max="7" width="0.85546875" style="524" customWidth="1"/>
    <col min="8" max="8" width="14.7109375" style="524" customWidth="1"/>
    <col min="9" max="9" width="0.85546875" style="524" customWidth="1"/>
    <col min="10" max="10" width="14.7109375" style="524" customWidth="1"/>
    <col min="11" max="11" width="0.85546875" style="524" customWidth="1"/>
    <col min="12" max="12" width="8.7109375" style="524" customWidth="1"/>
    <col min="13" max="13" width="0.85546875" style="524" customWidth="1"/>
    <col min="14" max="14" width="8.7109375" style="524" customWidth="1"/>
    <col min="15" max="15" width="0.9921875" style="524" customWidth="1"/>
    <col min="16" max="16384" width="9.140625" style="524" customWidth="1"/>
  </cols>
  <sheetData>
    <row r="1" spans="1:15" ht="24.75" customHeight="1">
      <c r="A1" s="967" t="s">
        <v>1473</v>
      </c>
      <c r="B1" s="967"/>
      <c r="C1" s="967"/>
      <c r="D1" s="967"/>
      <c r="E1" s="967"/>
      <c r="F1" s="967"/>
      <c r="G1" s="967"/>
      <c r="H1" s="967"/>
      <c r="I1" s="967"/>
      <c r="J1" s="967"/>
      <c r="K1" s="967"/>
      <c r="L1" s="538"/>
      <c r="M1" s="967"/>
      <c r="N1" s="538"/>
      <c r="O1" s="538"/>
    </row>
    <row r="2" spans="1:13" ht="23.25">
      <c r="A2" s="961"/>
      <c r="B2" s="961"/>
      <c r="D2" s="968"/>
      <c r="E2" s="969"/>
      <c r="F2" s="968"/>
      <c r="G2" s="969"/>
      <c r="H2" s="968"/>
      <c r="I2" s="969"/>
      <c r="J2" s="968"/>
      <c r="K2" s="969"/>
      <c r="M2" s="969"/>
    </row>
    <row r="3" spans="1:8" s="971" customFormat="1" ht="24.75" customHeight="1">
      <c r="A3" s="973" t="s">
        <v>1754</v>
      </c>
      <c r="B3" s="972"/>
      <c r="C3" s="972"/>
      <c r="D3" s="972"/>
      <c r="E3" s="972"/>
      <c r="F3" s="972"/>
      <c r="G3" s="972"/>
      <c r="H3" s="972"/>
    </row>
    <row r="4" spans="1:13" s="978" customFormat="1" ht="24.75" customHeight="1">
      <c r="A4" s="974"/>
      <c r="B4" s="970" t="s">
        <v>1502</v>
      </c>
      <c r="C4" s="975"/>
      <c r="D4" s="976"/>
      <c r="E4" s="977"/>
      <c r="F4" s="976"/>
      <c r="G4" s="977"/>
      <c r="H4" s="976"/>
      <c r="I4" s="977"/>
      <c r="J4" s="976"/>
      <c r="K4" s="977"/>
      <c r="M4" s="977"/>
    </row>
    <row r="5" spans="1:14" s="143" customFormat="1" ht="24.75" customHeight="1">
      <c r="A5" s="1002"/>
      <c r="B5" s="981"/>
      <c r="C5" s="982"/>
      <c r="D5" s="983" t="s">
        <v>1503</v>
      </c>
      <c r="E5" s="983"/>
      <c r="F5" s="984"/>
      <c r="G5" s="1003"/>
      <c r="H5" s="983"/>
      <c r="I5" s="983"/>
      <c r="J5" s="984"/>
      <c r="K5" s="1004"/>
      <c r="L5" s="983"/>
      <c r="M5" s="983"/>
      <c r="N5" s="984"/>
    </row>
    <row r="6" spans="1:14" s="143" customFormat="1" ht="24.75" customHeight="1">
      <c r="A6" s="1002"/>
      <c r="B6" s="981"/>
      <c r="C6" s="982"/>
      <c r="D6" s="985" t="s">
        <v>1504</v>
      </c>
      <c r="E6" s="986"/>
      <c r="F6" s="985"/>
      <c r="G6" s="1005"/>
      <c r="H6" s="985" t="s">
        <v>1505</v>
      </c>
      <c r="I6" s="986"/>
      <c r="J6" s="985"/>
      <c r="K6" s="987"/>
      <c r="L6" s="985" t="s">
        <v>540</v>
      </c>
      <c r="M6" s="987"/>
      <c r="N6" s="987"/>
    </row>
    <row r="7" spans="1:14" s="990" customFormat="1" ht="24.75" customHeight="1">
      <c r="A7" s="1006"/>
      <c r="B7" s="979"/>
      <c r="C7" s="980"/>
      <c r="D7" s="988" t="s">
        <v>898</v>
      </c>
      <c r="E7" s="512"/>
      <c r="F7" s="988" t="s">
        <v>747</v>
      </c>
      <c r="G7" s="1007"/>
      <c r="H7" s="988" t="s">
        <v>898</v>
      </c>
      <c r="I7" s="512"/>
      <c r="J7" s="988" t="s">
        <v>747</v>
      </c>
      <c r="L7" s="988" t="s">
        <v>898</v>
      </c>
      <c r="M7" s="512"/>
      <c r="N7" s="988" t="s">
        <v>747</v>
      </c>
    </row>
    <row r="8" spans="1:10" s="990" customFormat="1" ht="24.75" customHeight="1">
      <c r="A8" s="1006"/>
      <c r="B8" s="989" t="s">
        <v>1506</v>
      </c>
      <c r="C8" s="980"/>
      <c r="D8" s="511"/>
      <c r="E8" s="512"/>
      <c r="F8" s="511"/>
      <c r="G8" s="1007"/>
      <c r="H8" s="511"/>
      <c r="I8" s="512"/>
      <c r="J8" s="511"/>
    </row>
    <row r="9" spans="1:14" s="990" customFormat="1" ht="24.75" customHeight="1" thickBot="1">
      <c r="A9" s="1006"/>
      <c r="B9" s="979" t="s">
        <v>1507</v>
      </c>
      <c r="C9" s="980"/>
      <c r="D9" s="991">
        <v>3164956994.9200006</v>
      </c>
      <c r="E9" s="991"/>
      <c r="F9" s="991">
        <v>1697655867.5399995</v>
      </c>
      <c r="G9" s="991"/>
      <c r="H9" s="992">
        <v>494034300</v>
      </c>
      <c r="I9" s="992"/>
      <c r="J9" s="992">
        <v>494034300</v>
      </c>
      <c r="L9" s="993">
        <f>D9/H9</f>
        <v>6.406350722854669</v>
      </c>
      <c r="N9" s="993">
        <f>F9/J9</f>
        <v>3.4363117450347063</v>
      </c>
    </row>
    <row r="10" spans="1:10" s="990" customFormat="1" ht="24.75" customHeight="1" thickTop="1">
      <c r="A10" s="1006"/>
      <c r="B10" s="979" t="s">
        <v>1508</v>
      </c>
      <c r="C10" s="980"/>
      <c r="D10" s="994"/>
      <c r="E10" s="994"/>
      <c r="F10" s="994"/>
      <c r="G10" s="994"/>
      <c r="H10" s="994"/>
      <c r="I10" s="992"/>
      <c r="J10" s="994"/>
    </row>
    <row r="11" spans="1:10" s="990" customFormat="1" ht="24.75" customHeight="1">
      <c r="A11" s="1006"/>
      <c r="B11" s="979" t="s">
        <v>1509</v>
      </c>
      <c r="C11" s="980"/>
      <c r="D11" s="995">
        <v>10003492.16</v>
      </c>
      <c r="E11" s="994"/>
      <c r="F11" s="996">
        <v>0</v>
      </c>
      <c r="G11" s="994"/>
      <c r="H11" s="996">
        <v>39696397</v>
      </c>
      <c r="I11" s="992"/>
      <c r="J11" s="996">
        <v>0</v>
      </c>
    </row>
    <row r="12" spans="1:10" s="990" customFormat="1" ht="24.75" customHeight="1">
      <c r="A12" s="1006"/>
      <c r="B12" s="989" t="s">
        <v>1510</v>
      </c>
      <c r="C12" s="980"/>
      <c r="D12" s="994"/>
      <c r="E12" s="994"/>
      <c r="F12" s="994"/>
      <c r="G12" s="994"/>
      <c r="H12" s="994"/>
      <c r="I12" s="992"/>
      <c r="J12" s="994"/>
    </row>
    <row r="13" spans="1:10" s="990" customFormat="1" ht="24.75" customHeight="1">
      <c r="A13" s="1006"/>
      <c r="B13" s="979" t="s">
        <v>1507</v>
      </c>
      <c r="C13" s="980"/>
      <c r="D13" s="994"/>
      <c r="E13" s="994"/>
      <c r="F13" s="994"/>
      <c r="G13" s="994"/>
      <c r="H13" s="994"/>
      <c r="I13" s="992"/>
      <c r="J13" s="994"/>
    </row>
    <row r="14" spans="1:10" s="990" customFormat="1" ht="24.75" customHeight="1">
      <c r="A14" s="1006"/>
      <c r="B14" s="979" t="s">
        <v>1511</v>
      </c>
      <c r="C14" s="980"/>
      <c r="D14" s="994"/>
      <c r="E14" s="994"/>
      <c r="F14" s="994"/>
      <c r="G14" s="994"/>
      <c r="H14" s="994"/>
      <c r="I14" s="992"/>
      <c r="J14" s="994"/>
    </row>
    <row r="15" spans="1:14" s="990" customFormat="1" ht="24.75" customHeight="1" thickBot="1">
      <c r="A15" s="1006"/>
      <c r="B15" s="979" t="s">
        <v>1512</v>
      </c>
      <c r="C15" s="980"/>
      <c r="D15" s="997">
        <f>SUM(D9,D11,)</f>
        <v>3174960487.0800004</v>
      </c>
      <c r="E15" s="994"/>
      <c r="F15" s="997">
        <f>SUM(F9,F11,)</f>
        <v>1697655867.5399995</v>
      </c>
      <c r="G15" s="994"/>
      <c r="H15" s="998">
        <f>SUM(H9,H11,)</f>
        <v>533730697</v>
      </c>
      <c r="I15" s="992"/>
      <c r="J15" s="998">
        <f>SUM(J9,J11,)</f>
        <v>494034300</v>
      </c>
      <c r="L15" s="993">
        <f>D15/H15</f>
        <v>5.948618853901147</v>
      </c>
      <c r="N15" s="993">
        <f>F15/J15</f>
        <v>3.4363117450347063</v>
      </c>
    </row>
    <row r="16" ht="24.75" customHeight="1" thickTop="1"/>
    <row r="17" spans="1:14" s="143" customFormat="1" ht="24.75" customHeight="1">
      <c r="A17" s="1002"/>
      <c r="B17" s="981"/>
      <c r="C17" s="982"/>
      <c r="D17" s="983" t="s">
        <v>1513</v>
      </c>
      <c r="E17" s="983"/>
      <c r="F17" s="984"/>
      <c r="G17" s="1003"/>
      <c r="H17" s="983"/>
      <c r="I17" s="983"/>
      <c r="J17" s="984"/>
      <c r="K17" s="1004"/>
      <c r="L17" s="983"/>
      <c r="M17" s="983"/>
      <c r="N17" s="984"/>
    </row>
    <row r="18" spans="1:14" s="143" customFormat="1" ht="24.75" customHeight="1">
      <c r="A18" s="1002"/>
      <c r="B18" s="981"/>
      <c r="C18" s="982"/>
      <c r="D18" s="985" t="s">
        <v>1504</v>
      </c>
      <c r="E18" s="986"/>
      <c r="F18" s="985"/>
      <c r="G18" s="1005"/>
      <c r="H18" s="985" t="s">
        <v>1505</v>
      </c>
      <c r="I18" s="986"/>
      <c r="J18" s="985"/>
      <c r="K18" s="987"/>
      <c r="L18" s="985" t="s">
        <v>540</v>
      </c>
      <c r="M18" s="987"/>
      <c r="N18" s="987"/>
    </row>
    <row r="19" spans="1:14" s="990" customFormat="1" ht="24.75" customHeight="1">
      <c r="A19" s="1006"/>
      <c r="B19" s="979"/>
      <c r="C19" s="980"/>
      <c r="D19" s="988" t="s">
        <v>898</v>
      </c>
      <c r="E19" s="512"/>
      <c r="F19" s="988" t="s">
        <v>747</v>
      </c>
      <c r="G19" s="1007"/>
      <c r="H19" s="988" t="s">
        <v>898</v>
      </c>
      <c r="I19" s="512"/>
      <c r="J19" s="988" t="s">
        <v>747</v>
      </c>
      <c r="L19" s="988" t="s">
        <v>898</v>
      </c>
      <c r="M19" s="512"/>
      <c r="N19" s="988" t="s">
        <v>747</v>
      </c>
    </row>
    <row r="20" spans="1:10" s="990" customFormat="1" ht="24.75" customHeight="1">
      <c r="A20" s="1006"/>
      <c r="B20" s="989" t="s">
        <v>1506</v>
      </c>
      <c r="C20" s="980"/>
      <c r="D20" s="511"/>
      <c r="E20" s="512"/>
      <c r="F20" s="511"/>
      <c r="G20" s="1007"/>
      <c r="H20" s="511"/>
      <c r="I20" s="512"/>
      <c r="J20" s="511"/>
    </row>
    <row r="21" spans="1:14" s="990" customFormat="1" ht="24.75" customHeight="1" thickBot="1">
      <c r="A21" s="1006"/>
      <c r="B21" s="979" t="s">
        <v>1507</v>
      </c>
      <c r="C21" s="980"/>
      <c r="D21" s="991">
        <v>1556363641.9499993</v>
      </c>
      <c r="E21" s="991"/>
      <c r="F21" s="991">
        <v>783929875.72</v>
      </c>
      <c r="G21" s="991"/>
      <c r="H21" s="992">
        <v>494034300</v>
      </c>
      <c r="I21" s="992"/>
      <c r="J21" s="992">
        <v>494034300</v>
      </c>
      <c r="L21" s="993">
        <f>D21/H21</f>
        <v>3.15031495171489</v>
      </c>
      <c r="N21" s="993">
        <f>F21/J21</f>
        <v>1.5867924063572105</v>
      </c>
    </row>
    <row r="22" spans="1:10" s="990" customFormat="1" ht="24.75" customHeight="1" thickTop="1">
      <c r="A22" s="1006"/>
      <c r="B22" s="979" t="s">
        <v>1508</v>
      </c>
      <c r="C22" s="980"/>
      <c r="D22" s="994"/>
      <c r="E22" s="994"/>
      <c r="F22" s="994"/>
      <c r="G22" s="994"/>
      <c r="H22" s="994"/>
      <c r="I22" s="992"/>
      <c r="J22" s="994"/>
    </row>
    <row r="23" spans="1:10" s="990" customFormat="1" ht="24.75" customHeight="1">
      <c r="A23" s="1006"/>
      <c r="B23" s="979" t="s">
        <v>1509</v>
      </c>
      <c r="C23" s="980"/>
      <c r="D23" s="995">
        <v>10003492.16</v>
      </c>
      <c r="E23" s="994"/>
      <c r="F23" s="996">
        <v>0</v>
      </c>
      <c r="G23" s="994"/>
      <c r="H23" s="996">
        <v>39696397</v>
      </c>
      <c r="I23" s="992"/>
      <c r="J23" s="996">
        <v>0</v>
      </c>
    </row>
    <row r="24" spans="1:10" s="990" customFormat="1" ht="24.75" customHeight="1">
      <c r="A24" s="1006"/>
      <c r="B24" s="989" t="s">
        <v>1510</v>
      </c>
      <c r="C24" s="980"/>
      <c r="D24" s="994"/>
      <c r="E24" s="994"/>
      <c r="F24" s="994"/>
      <c r="G24" s="994"/>
      <c r="H24" s="994"/>
      <c r="I24" s="992"/>
      <c r="J24" s="994"/>
    </row>
    <row r="25" spans="1:10" s="990" customFormat="1" ht="24.75" customHeight="1">
      <c r="A25" s="1006"/>
      <c r="B25" s="979" t="s">
        <v>1507</v>
      </c>
      <c r="C25" s="980"/>
      <c r="D25" s="994"/>
      <c r="E25" s="994"/>
      <c r="F25" s="994"/>
      <c r="G25" s="994"/>
      <c r="H25" s="994"/>
      <c r="I25" s="992"/>
      <c r="J25" s="994"/>
    </row>
    <row r="26" spans="1:10" s="990" customFormat="1" ht="24.75" customHeight="1">
      <c r="A26" s="1006"/>
      <c r="B26" s="979" t="s">
        <v>1511</v>
      </c>
      <c r="C26" s="980"/>
      <c r="D26" s="994"/>
      <c r="E26" s="994"/>
      <c r="F26" s="994"/>
      <c r="G26" s="994"/>
      <c r="H26" s="994"/>
      <c r="I26" s="992"/>
      <c r="J26" s="994"/>
    </row>
    <row r="27" spans="1:14" s="990" customFormat="1" ht="24.75" customHeight="1" thickBot="1">
      <c r="A27" s="1006"/>
      <c r="B27" s="979" t="s">
        <v>1512</v>
      </c>
      <c r="C27" s="980"/>
      <c r="D27" s="997">
        <f>SUM(D21,D23,)</f>
        <v>1566367134.1099994</v>
      </c>
      <c r="E27" s="994"/>
      <c r="F27" s="997">
        <f>SUM(F21,F23,)</f>
        <v>783929875.72</v>
      </c>
      <c r="G27" s="994"/>
      <c r="H27" s="998">
        <f>SUM(H21,H23,)</f>
        <v>533730697</v>
      </c>
      <c r="I27" s="992"/>
      <c r="J27" s="998">
        <f>SUM(J21,J23,)</f>
        <v>494034300</v>
      </c>
      <c r="L27" s="993">
        <f>D27/H27</f>
        <v>2.934751819436759</v>
      </c>
      <c r="N27" s="993">
        <f>F27/J27</f>
        <v>1.5867924063572105</v>
      </c>
    </row>
    <row r="28" spans="1:14" s="990" customFormat="1" ht="24.75" customHeight="1" thickTop="1">
      <c r="A28" s="1006"/>
      <c r="B28" s="979"/>
      <c r="C28" s="980"/>
      <c r="D28" s="999"/>
      <c r="E28" s="994"/>
      <c r="F28" s="999"/>
      <c r="G28" s="994"/>
      <c r="H28" s="1000"/>
      <c r="I28" s="992"/>
      <c r="J28" s="1000"/>
      <c r="L28" s="1001"/>
      <c r="N28" s="1001"/>
    </row>
    <row r="29" spans="1:14" s="990" customFormat="1" ht="24.75" customHeight="1">
      <c r="A29" s="1006"/>
      <c r="B29" s="979"/>
      <c r="C29" s="980"/>
      <c r="D29" s="999"/>
      <c r="E29" s="994"/>
      <c r="F29" s="999"/>
      <c r="G29" s="994"/>
      <c r="H29" s="1000"/>
      <c r="I29" s="992"/>
      <c r="J29" s="1000"/>
      <c r="L29" s="1001"/>
      <c r="N29" s="1001"/>
    </row>
    <row r="30" spans="1:14" s="990" customFormat="1" ht="24.75" customHeight="1">
      <c r="A30" s="1006"/>
      <c r="B30" s="979"/>
      <c r="C30" s="980"/>
      <c r="D30" s="999"/>
      <c r="E30" s="994"/>
      <c r="F30" s="999"/>
      <c r="G30" s="994"/>
      <c r="H30" s="1000"/>
      <c r="I30" s="992"/>
      <c r="J30" s="1000"/>
      <c r="L30" s="1001"/>
      <c r="N30" s="1001"/>
    </row>
    <row r="31" spans="1:14" s="990" customFormat="1" ht="24.75" customHeight="1">
      <c r="A31" s="1006"/>
      <c r="B31" s="979"/>
      <c r="C31" s="980"/>
      <c r="D31" s="999"/>
      <c r="E31" s="994"/>
      <c r="F31" s="999"/>
      <c r="G31" s="994"/>
      <c r="H31" s="1000"/>
      <c r="I31" s="992"/>
      <c r="J31" s="1000"/>
      <c r="L31" s="1001"/>
      <c r="N31" s="1001"/>
    </row>
    <row r="32" spans="1:14" s="990" customFormat="1" ht="24.75" customHeight="1">
      <c r="A32" s="1006"/>
      <c r="B32" s="979"/>
      <c r="C32" s="980"/>
      <c r="D32" s="999"/>
      <c r="E32" s="994"/>
      <c r="F32" s="999"/>
      <c r="G32" s="994"/>
      <c r="H32" s="1000"/>
      <c r="I32" s="992"/>
      <c r="J32" s="1000"/>
      <c r="L32" s="1001"/>
      <c r="N32" s="1001"/>
    </row>
    <row r="33" spans="1:14" s="990" customFormat="1" ht="24.75" customHeight="1">
      <c r="A33" s="1006"/>
      <c r="B33" s="979"/>
      <c r="C33" s="980"/>
      <c r="D33" s="999"/>
      <c r="E33" s="994"/>
      <c r="F33" s="999"/>
      <c r="G33" s="994"/>
      <c r="H33" s="1000"/>
      <c r="I33" s="992"/>
      <c r="J33" s="1000"/>
      <c r="L33" s="1001"/>
      <c r="N33" s="1001"/>
    </row>
    <row r="34" spans="1:11" s="596" customFormat="1" ht="24.75" customHeight="1">
      <c r="A34" s="601" t="s">
        <v>1514</v>
      </c>
      <c r="B34" s="821"/>
      <c r="C34" s="538"/>
      <c r="D34" s="821"/>
      <c r="E34" s="821"/>
      <c r="F34" s="821"/>
      <c r="G34" s="821"/>
      <c r="H34" s="821"/>
      <c r="I34" s="821"/>
      <c r="J34" s="822"/>
      <c r="K34" s="1009"/>
    </row>
    <row r="35" spans="1:11" s="596" customFormat="1" ht="24.75" customHeight="1">
      <c r="A35" s="538"/>
      <c r="B35" s="538"/>
      <c r="C35" s="538"/>
      <c r="D35" s="538"/>
      <c r="E35" s="538"/>
      <c r="F35" s="538"/>
      <c r="G35" s="538"/>
      <c r="H35" s="823"/>
      <c r="I35" s="538"/>
      <c r="J35" s="538"/>
      <c r="K35" s="538"/>
    </row>
    <row r="36" spans="1:11" s="596" customFormat="1" ht="24.75" customHeight="1">
      <c r="A36" s="538"/>
      <c r="B36" s="538"/>
      <c r="C36" s="538"/>
      <c r="D36" s="538"/>
      <c r="E36" s="538"/>
      <c r="F36" s="538"/>
      <c r="G36" s="538"/>
      <c r="H36" s="823"/>
      <c r="I36" s="538"/>
      <c r="J36" s="538"/>
      <c r="K36" s="538"/>
    </row>
    <row r="37" spans="1:11" s="596" customFormat="1" ht="24.75" customHeight="1">
      <c r="A37" s="538"/>
      <c r="B37" s="538"/>
      <c r="C37" s="538"/>
      <c r="D37" s="538"/>
      <c r="E37" s="538"/>
      <c r="F37" s="538"/>
      <c r="G37" s="538"/>
      <c r="H37" s="823"/>
      <c r="I37" s="538"/>
      <c r="J37" s="538"/>
      <c r="K37" s="538"/>
    </row>
    <row r="38" spans="1:14" s="990" customFormat="1" ht="24.75" customHeight="1">
      <c r="A38" s="1006"/>
      <c r="B38" s="979"/>
      <c r="C38" s="980"/>
      <c r="D38" s="999"/>
      <c r="E38" s="994"/>
      <c r="F38" s="999"/>
      <c r="G38" s="994"/>
      <c r="H38" s="1000"/>
      <c r="I38" s="992"/>
      <c r="J38" s="1000"/>
      <c r="L38" s="1001"/>
      <c r="N38" s="1001"/>
    </row>
    <row r="39" spans="1:14" s="990" customFormat="1" ht="24.75" customHeight="1">
      <c r="A39" s="1006"/>
      <c r="B39" s="979"/>
      <c r="C39" s="980"/>
      <c r="D39" s="999"/>
      <c r="E39" s="994"/>
      <c r="F39" s="999"/>
      <c r="G39" s="994"/>
      <c r="H39" s="1000"/>
      <c r="I39" s="992"/>
      <c r="J39" s="1000"/>
      <c r="L39" s="1001"/>
      <c r="N39" s="1001"/>
    </row>
  </sheetData>
  <sheetProtection/>
  <printOptions horizontalCentered="1"/>
  <pageMargins left="0.5905511811023623" right="0.15748031496062992" top="0.5905511811023623" bottom="0.3937007874015748" header="0.2362204724409449" footer="0.1968503937007874"/>
  <pageSetup fitToHeight="7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4"/>
  <sheetViews>
    <sheetView zoomScaleSheetLayoutView="70" workbookViewId="0" topLeftCell="A1">
      <selection activeCell="A2" sqref="A2"/>
    </sheetView>
  </sheetViews>
  <sheetFormatPr defaultColWidth="9.140625" defaultRowHeight="24" customHeight="1"/>
  <cols>
    <col min="1" max="1" width="6.00390625" style="524" customWidth="1"/>
    <col min="2" max="2" width="15.8515625" style="524" customWidth="1"/>
    <col min="3" max="3" width="19.8515625" style="524" customWidth="1"/>
    <col min="4" max="4" width="19.140625" style="524" customWidth="1"/>
    <col min="5" max="5" width="1.421875" style="524" customWidth="1"/>
    <col min="6" max="6" width="19.140625" style="1008" customWidth="1"/>
    <col min="7" max="7" width="1.7109375" style="524" customWidth="1"/>
    <col min="8" max="8" width="19.8515625" style="524" customWidth="1"/>
    <col min="9" max="9" width="1.421875" style="524" customWidth="1"/>
    <col min="10" max="10" width="20.421875" style="524" customWidth="1"/>
    <col min="11" max="11" width="2.8515625" style="524" customWidth="1"/>
    <col min="12" max="12" width="10.7109375" style="524" bestFit="1" customWidth="1"/>
    <col min="13" max="16384" width="9.140625" style="524" customWidth="1"/>
  </cols>
  <sheetData>
    <row r="1" spans="1:10" ht="25.5" customHeight="1">
      <c r="A1" s="824" t="s">
        <v>1474</v>
      </c>
      <c r="B1" s="824"/>
      <c r="C1" s="824"/>
      <c r="D1" s="824"/>
      <c r="E1" s="824"/>
      <c r="F1" s="824"/>
      <c r="G1" s="824"/>
      <c r="H1" s="824"/>
      <c r="I1" s="824"/>
      <c r="J1" s="824"/>
    </row>
    <row r="2" spans="1:10" ht="25.5" customHeight="1">
      <c r="A2" s="961"/>
      <c r="B2" s="961"/>
      <c r="D2" s="968"/>
      <c r="E2" s="969"/>
      <c r="F2" s="968"/>
      <c r="G2" s="969"/>
      <c r="H2" s="968"/>
      <c r="I2" s="969"/>
      <c r="J2" s="968"/>
    </row>
    <row r="3" spans="1:10" ht="25.5" customHeight="1">
      <c r="A3" s="1010" t="s">
        <v>1755</v>
      </c>
      <c r="B3" s="560"/>
      <c r="C3" s="560"/>
      <c r="D3" s="560"/>
      <c r="E3" s="560"/>
      <c r="G3" s="560"/>
      <c r="H3" s="560"/>
      <c r="I3" s="560"/>
      <c r="J3" s="560"/>
    </row>
    <row r="4" spans="1:10" ht="25.5" customHeight="1">
      <c r="A4" s="560" t="s">
        <v>1756</v>
      </c>
      <c r="B4" s="560"/>
      <c r="C4" s="560"/>
      <c r="D4" s="560"/>
      <c r="E4" s="560"/>
      <c r="G4" s="560"/>
      <c r="H4" s="560"/>
      <c r="I4" s="560"/>
      <c r="J4" s="560"/>
    </row>
    <row r="5" spans="1:10" ht="25.5" customHeight="1">
      <c r="A5" s="560" t="s">
        <v>1757</v>
      </c>
      <c r="B5" s="560"/>
      <c r="C5" s="560"/>
      <c r="D5" s="560"/>
      <c r="E5" s="560"/>
      <c r="G5" s="560"/>
      <c r="H5" s="560"/>
      <c r="I5" s="560"/>
      <c r="J5" s="560"/>
    </row>
    <row r="6" spans="1:10" ht="25.5" customHeight="1">
      <c r="A6" s="560" t="s">
        <v>1535</v>
      </c>
      <c r="B6" s="560"/>
      <c r="C6" s="560"/>
      <c r="D6" s="560"/>
      <c r="E6" s="560"/>
      <c r="G6" s="560"/>
      <c r="H6" s="560"/>
      <c r="I6" s="560"/>
      <c r="J6" s="560"/>
    </row>
    <row r="7" spans="1:10" ht="25.5" customHeight="1">
      <c r="A7" s="560" t="s">
        <v>1536</v>
      </c>
      <c r="B7" s="560"/>
      <c r="C7" s="560"/>
      <c r="D7" s="560"/>
      <c r="E7" s="560"/>
      <c r="G7" s="560"/>
      <c r="H7" s="560"/>
      <c r="I7" s="560"/>
      <c r="J7" s="560"/>
    </row>
    <row r="8" spans="1:6" s="560" customFormat="1" ht="25.5" customHeight="1">
      <c r="A8" s="560" t="s">
        <v>1758</v>
      </c>
      <c r="F8" s="1008"/>
    </row>
    <row r="9" spans="1:6" s="560" customFormat="1" ht="25.5" customHeight="1">
      <c r="A9" s="560" t="s">
        <v>502</v>
      </c>
      <c r="F9" s="1008"/>
    </row>
    <row r="10" spans="1:6" s="560" customFormat="1" ht="25.5" customHeight="1">
      <c r="A10" s="560" t="s">
        <v>1759</v>
      </c>
      <c r="F10" s="1008"/>
    </row>
    <row r="11" spans="1:6" s="560" customFormat="1" ht="25.5" customHeight="1">
      <c r="A11" s="560" t="s">
        <v>1537</v>
      </c>
      <c r="F11" s="1008"/>
    </row>
    <row r="12" spans="1:6" s="560" customFormat="1" ht="25.5" customHeight="1">
      <c r="A12" s="560" t="s">
        <v>1538</v>
      </c>
      <c r="F12" s="1008"/>
    </row>
    <row r="13" spans="1:6" s="560" customFormat="1" ht="25.5" customHeight="1">
      <c r="A13" s="560" t="s">
        <v>1539</v>
      </c>
      <c r="F13" s="1008"/>
    </row>
    <row r="14" spans="1:6" s="560" customFormat="1" ht="25.5" customHeight="1">
      <c r="A14" s="560" t="s">
        <v>1526</v>
      </c>
      <c r="F14" s="1008"/>
    </row>
    <row r="15" spans="1:6" s="560" customFormat="1" ht="25.5" customHeight="1">
      <c r="A15" s="560" t="s">
        <v>1527</v>
      </c>
      <c r="F15" s="1008"/>
    </row>
    <row r="16" spans="1:6" s="560" customFormat="1" ht="25.5" customHeight="1">
      <c r="A16" s="560" t="s">
        <v>1528</v>
      </c>
      <c r="F16" s="1008"/>
    </row>
    <row r="17" spans="1:6" s="560" customFormat="1" ht="25.5" customHeight="1">
      <c r="A17" s="560" t="s">
        <v>1529</v>
      </c>
      <c r="F17" s="1008"/>
    </row>
    <row r="18" spans="1:6" s="560" customFormat="1" ht="25.5" customHeight="1">
      <c r="A18" s="560" t="s">
        <v>1530</v>
      </c>
      <c r="F18" s="1008"/>
    </row>
    <row r="19" spans="1:6" s="560" customFormat="1" ht="25.5" customHeight="1">
      <c r="A19" s="560" t="s">
        <v>1531</v>
      </c>
      <c r="F19" s="1008"/>
    </row>
    <row r="20" spans="1:6" s="560" customFormat="1" ht="25.5" customHeight="1">
      <c r="A20" s="560" t="s">
        <v>1532</v>
      </c>
      <c r="F20" s="1008"/>
    </row>
    <row r="21" spans="1:6" s="560" customFormat="1" ht="25.5" customHeight="1">
      <c r="A21" s="560" t="s">
        <v>1533</v>
      </c>
      <c r="F21" s="1008"/>
    </row>
    <row r="22" spans="1:6" s="560" customFormat="1" ht="25.5" customHeight="1">
      <c r="A22" s="560" t="s">
        <v>1760</v>
      </c>
      <c r="F22" s="1008"/>
    </row>
    <row r="23" spans="1:6" s="560" customFormat="1" ht="25.5" customHeight="1">
      <c r="A23" s="560" t="s">
        <v>1515</v>
      </c>
      <c r="F23" s="1008"/>
    </row>
    <row r="24" spans="1:6" s="560" customFormat="1" ht="25.5" customHeight="1">
      <c r="A24" s="560" t="s">
        <v>1516</v>
      </c>
      <c r="F24" s="1008"/>
    </row>
    <row r="25" spans="1:6" s="560" customFormat="1" ht="25.5" customHeight="1">
      <c r="A25" s="560" t="s">
        <v>1534</v>
      </c>
      <c r="F25" s="1008"/>
    </row>
    <row r="26" spans="1:6" s="560" customFormat="1" ht="25.5" customHeight="1">
      <c r="A26" s="560" t="s">
        <v>1540</v>
      </c>
      <c r="F26" s="1008"/>
    </row>
    <row r="27" spans="1:6" s="560" customFormat="1" ht="25.5" customHeight="1">
      <c r="A27" s="560" t="s">
        <v>1541</v>
      </c>
      <c r="F27" s="1008"/>
    </row>
    <row r="28" spans="1:6" s="560" customFormat="1" ht="25.5" customHeight="1">
      <c r="A28" s="560" t="s">
        <v>1542</v>
      </c>
      <c r="F28" s="1008"/>
    </row>
    <row r="29" spans="1:6" s="560" customFormat="1" ht="25.5" customHeight="1">
      <c r="A29" s="560" t="s">
        <v>1517</v>
      </c>
      <c r="F29" s="1008"/>
    </row>
    <row r="30" spans="1:6" s="560" customFormat="1" ht="25.5" customHeight="1">
      <c r="A30" s="560" t="s">
        <v>1518</v>
      </c>
      <c r="F30" s="1008"/>
    </row>
    <row r="31" s="560" customFormat="1" ht="7.5" customHeight="1">
      <c r="F31" s="1008"/>
    </row>
    <row r="32" spans="1:6" s="560" customFormat="1" ht="25.5" customHeight="1">
      <c r="A32" s="560" t="s">
        <v>1761</v>
      </c>
      <c r="F32" s="1008"/>
    </row>
    <row r="33" spans="1:6" s="560" customFormat="1" ht="25.5" customHeight="1">
      <c r="A33" s="560" t="s">
        <v>1519</v>
      </c>
      <c r="F33" s="1008"/>
    </row>
    <row r="34" s="560" customFormat="1" ht="7.5" customHeight="1">
      <c r="F34" s="1008"/>
    </row>
    <row r="35" spans="1:6" s="560" customFormat="1" ht="25.5" customHeight="1">
      <c r="A35" s="560" t="s">
        <v>1762</v>
      </c>
      <c r="F35" s="1008"/>
    </row>
    <row r="36" spans="1:6" s="560" customFormat="1" ht="25.5" customHeight="1">
      <c r="A36" s="560" t="s">
        <v>397</v>
      </c>
      <c r="F36" s="1008"/>
    </row>
    <row r="37" s="560" customFormat="1" ht="16.5" customHeight="1">
      <c r="F37" s="1008"/>
    </row>
    <row r="38" s="560" customFormat="1" ht="25.5" customHeight="1">
      <c r="F38" s="1008"/>
    </row>
    <row r="39" spans="1:10" s="596" customFormat="1" ht="25.5" customHeight="1">
      <c r="A39" s="821" t="s">
        <v>1358</v>
      </c>
      <c r="B39" s="821"/>
      <c r="C39" s="538"/>
      <c r="D39" s="821"/>
      <c r="E39" s="821"/>
      <c r="F39" s="821"/>
      <c r="G39" s="821"/>
      <c r="H39" s="821"/>
      <c r="I39" s="821"/>
      <c r="J39" s="822"/>
    </row>
    <row r="40" spans="1:10" s="596" customFormat="1" ht="25.5" customHeight="1">
      <c r="A40" s="821"/>
      <c r="B40" s="821"/>
      <c r="C40" s="538"/>
      <c r="D40" s="821"/>
      <c r="E40" s="821"/>
      <c r="F40" s="821"/>
      <c r="G40" s="821"/>
      <c r="H40" s="821"/>
      <c r="I40" s="821"/>
      <c r="J40" s="822"/>
    </row>
    <row r="41" spans="1:10" ht="25.5" customHeight="1">
      <c r="A41" s="824" t="s">
        <v>526</v>
      </c>
      <c r="B41" s="824"/>
      <c r="C41" s="824"/>
      <c r="D41" s="824"/>
      <c r="E41" s="824"/>
      <c r="F41" s="824"/>
      <c r="G41" s="824"/>
      <c r="H41" s="824"/>
      <c r="I41" s="824"/>
      <c r="J41" s="824"/>
    </row>
    <row r="42" spans="1:8" s="971" customFormat="1" ht="3" customHeight="1">
      <c r="A42" s="970"/>
      <c r="B42" s="972"/>
      <c r="C42" s="972"/>
      <c r="D42" s="972"/>
      <c r="E42" s="972"/>
      <c r="F42" s="972"/>
      <c r="G42" s="972"/>
      <c r="H42" s="972"/>
    </row>
    <row r="43" spans="1:10" ht="24" customHeight="1">
      <c r="A43" s="1010" t="s">
        <v>1763</v>
      </c>
      <c r="B43" s="560"/>
      <c r="C43" s="560"/>
      <c r="D43" s="560"/>
      <c r="E43" s="560"/>
      <c r="G43" s="560"/>
      <c r="H43" s="560"/>
      <c r="I43" s="560"/>
      <c r="J43" s="560"/>
    </row>
    <row r="44" ht="24" customHeight="1">
      <c r="A44" s="524" t="s">
        <v>1764</v>
      </c>
    </row>
    <row r="45" spans="6:10" s="560" customFormat="1" ht="24" customHeight="1">
      <c r="F45" s="1008"/>
      <c r="H45" s="924"/>
      <c r="I45" s="524"/>
      <c r="J45" s="559" t="s">
        <v>214</v>
      </c>
    </row>
    <row r="46" spans="6:10" s="560" customFormat="1" ht="24" customHeight="1">
      <c r="F46" s="1008"/>
      <c r="H46" s="1011"/>
      <c r="I46" s="1011"/>
      <c r="J46" s="1012" t="s">
        <v>1171</v>
      </c>
    </row>
    <row r="47" spans="6:10" s="560" customFormat="1" ht="24" customHeight="1">
      <c r="F47" s="1008"/>
      <c r="H47" s="1011" t="s">
        <v>1326</v>
      </c>
      <c r="I47" s="1011"/>
      <c r="J47" s="1012" t="s">
        <v>1172</v>
      </c>
    </row>
    <row r="48" spans="6:10" s="560" customFormat="1" ht="24" customHeight="1">
      <c r="F48" s="1008"/>
      <c r="H48" s="1011" t="s">
        <v>126</v>
      </c>
      <c r="I48" s="1011"/>
      <c r="J48" s="1012" t="s">
        <v>1327</v>
      </c>
    </row>
    <row r="49" spans="6:10" s="560" customFormat="1" ht="24" customHeight="1">
      <c r="F49" s="1008"/>
      <c r="H49" s="1013"/>
      <c r="I49" s="1014"/>
      <c r="J49" s="1013" t="s">
        <v>126</v>
      </c>
    </row>
    <row r="50" spans="2:10" s="560" customFormat="1" ht="24" customHeight="1">
      <c r="B50" s="1010" t="s">
        <v>220</v>
      </c>
      <c r="C50" s="1010"/>
      <c r="F50" s="1015" t="s">
        <v>351</v>
      </c>
      <c r="H50" s="1016" t="s">
        <v>1454</v>
      </c>
      <c r="I50" s="1017"/>
      <c r="J50" s="1016" t="s">
        <v>754</v>
      </c>
    </row>
    <row r="51" spans="2:10" s="560" customFormat="1" ht="24" customHeight="1">
      <c r="B51" s="560" t="s">
        <v>1520</v>
      </c>
      <c r="F51" s="1008" t="s">
        <v>182</v>
      </c>
      <c r="H51" s="353">
        <v>430000000</v>
      </c>
      <c r="I51" s="1018"/>
      <c r="J51" s="353">
        <v>0</v>
      </c>
    </row>
    <row r="52" spans="2:10" s="560" customFormat="1" ht="24" customHeight="1">
      <c r="B52" s="560" t="s">
        <v>398</v>
      </c>
      <c r="F52" s="1008" t="s">
        <v>741</v>
      </c>
      <c r="H52" s="353">
        <v>137900000</v>
      </c>
      <c r="I52" s="1018"/>
      <c r="J52" s="353">
        <v>140000000</v>
      </c>
    </row>
    <row r="53" spans="2:10" s="560" customFormat="1" ht="24" customHeight="1">
      <c r="B53" s="560" t="s">
        <v>257</v>
      </c>
      <c r="F53" s="1008" t="s">
        <v>182</v>
      </c>
      <c r="H53" s="353">
        <v>43000000</v>
      </c>
      <c r="I53" s="1018"/>
      <c r="J53" s="353">
        <v>43000000</v>
      </c>
    </row>
    <row r="54" spans="2:10" s="560" customFormat="1" ht="24" customHeight="1">
      <c r="B54" s="560" t="s">
        <v>258</v>
      </c>
      <c r="F54" s="1008" t="s">
        <v>182</v>
      </c>
      <c r="H54" s="353">
        <v>16000000</v>
      </c>
      <c r="I54" s="1018"/>
      <c r="J54" s="353">
        <v>16000000</v>
      </c>
    </row>
    <row r="55" spans="2:10" s="560" customFormat="1" ht="24" customHeight="1">
      <c r="B55" s="560" t="s">
        <v>259</v>
      </c>
      <c r="F55" s="1008" t="s">
        <v>741</v>
      </c>
      <c r="H55" s="353">
        <v>5000000</v>
      </c>
      <c r="I55" s="1019"/>
      <c r="J55" s="353">
        <v>5000000</v>
      </c>
    </row>
    <row r="56" spans="2:10" s="560" customFormat="1" ht="24" customHeight="1">
      <c r="B56" s="560" t="s">
        <v>786</v>
      </c>
      <c r="F56" s="1008" t="s">
        <v>182</v>
      </c>
      <c r="H56" s="353">
        <v>0</v>
      </c>
      <c r="I56" s="1018"/>
      <c r="J56" s="353">
        <v>12000000</v>
      </c>
    </row>
    <row r="57" spans="2:10" s="560" customFormat="1" ht="24" customHeight="1">
      <c r="B57" s="1008"/>
      <c r="C57" s="526" t="s">
        <v>212</v>
      </c>
      <c r="F57" s="1008"/>
      <c r="H57" s="1020">
        <f>SUM(H51:H56)</f>
        <v>631900000</v>
      </c>
      <c r="I57" s="1021"/>
      <c r="J57" s="1020">
        <f>SUM(J51:J56)</f>
        <v>216000000</v>
      </c>
    </row>
    <row r="58" spans="2:10" s="560" customFormat="1" ht="24" customHeight="1">
      <c r="B58" s="1010" t="s">
        <v>360</v>
      </c>
      <c r="C58" s="1010"/>
      <c r="F58" s="1015"/>
      <c r="H58" s="1016"/>
      <c r="I58" s="1015"/>
      <c r="J58" s="1016"/>
    </row>
    <row r="59" spans="2:10" s="560" customFormat="1" ht="24" customHeight="1">
      <c r="B59" s="560" t="s">
        <v>1521</v>
      </c>
      <c r="F59" s="1008" t="s">
        <v>1305</v>
      </c>
      <c r="H59" s="353">
        <v>100800000</v>
      </c>
      <c r="I59" s="353"/>
      <c r="J59" s="353">
        <v>0</v>
      </c>
    </row>
    <row r="60" spans="1:10" s="560" customFormat="1" ht="24" customHeight="1">
      <c r="A60" s="524"/>
      <c r="B60" s="560" t="s">
        <v>503</v>
      </c>
      <c r="D60" s="524"/>
      <c r="E60" s="524"/>
      <c r="F60" s="1008" t="s">
        <v>182</v>
      </c>
      <c r="G60" s="524"/>
      <c r="H60" s="353">
        <v>35500000</v>
      </c>
      <c r="I60" s="1018"/>
      <c r="J60" s="353">
        <v>35500000</v>
      </c>
    </row>
    <row r="61" spans="1:10" s="560" customFormat="1" ht="24" customHeight="1">
      <c r="A61" s="524"/>
      <c r="B61" s="560" t="s">
        <v>787</v>
      </c>
      <c r="D61" s="524"/>
      <c r="E61" s="524"/>
      <c r="F61" s="1008" t="s">
        <v>741</v>
      </c>
      <c r="G61" s="524"/>
      <c r="H61" s="353">
        <v>25200000</v>
      </c>
      <c r="I61" s="1018"/>
      <c r="J61" s="353">
        <v>25200000</v>
      </c>
    </row>
    <row r="62" spans="1:10" s="560" customFormat="1" ht="24" customHeight="1">
      <c r="A62" s="524"/>
      <c r="B62" s="560" t="s">
        <v>1522</v>
      </c>
      <c r="D62" s="524"/>
      <c r="E62" s="524"/>
      <c r="F62" s="1008" t="s">
        <v>553</v>
      </c>
      <c r="G62" s="524"/>
      <c r="H62" s="353">
        <v>18065960</v>
      </c>
      <c r="I62" s="1018"/>
      <c r="J62" s="353">
        <v>16201125</v>
      </c>
    </row>
    <row r="63" spans="1:10" s="560" customFormat="1" ht="24" customHeight="1">
      <c r="A63" s="524"/>
      <c r="B63" s="560" t="s">
        <v>1523</v>
      </c>
      <c r="D63" s="524"/>
      <c r="E63" s="524"/>
      <c r="F63" s="1008" t="s">
        <v>1305</v>
      </c>
      <c r="G63" s="524"/>
      <c r="H63" s="353">
        <v>18061400</v>
      </c>
      <c r="I63" s="1018"/>
      <c r="J63" s="353">
        <v>0</v>
      </c>
    </row>
    <row r="64" spans="1:10" s="560" customFormat="1" ht="24" customHeight="1">
      <c r="A64" s="524"/>
      <c r="B64" s="560" t="s">
        <v>786</v>
      </c>
      <c r="D64" s="524"/>
      <c r="E64" s="524"/>
      <c r="F64" s="1008" t="s">
        <v>182</v>
      </c>
      <c r="G64" s="524"/>
      <c r="H64" s="353">
        <v>12000000</v>
      </c>
      <c r="I64" s="1018"/>
      <c r="J64" s="353">
        <v>0</v>
      </c>
    </row>
    <row r="65" spans="1:10" s="560" customFormat="1" ht="24" customHeight="1">
      <c r="A65" s="524"/>
      <c r="B65" s="560" t="s">
        <v>885</v>
      </c>
      <c r="D65" s="524"/>
      <c r="E65" s="524"/>
      <c r="F65" s="1008" t="s">
        <v>233</v>
      </c>
      <c r="G65" s="524"/>
      <c r="H65" s="353">
        <v>0</v>
      </c>
      <c r="I65" s="1018"/>
      <c r="J65" s="353">
        <v>10000000</v>
      </c>
    </row>
    <row r="66" spans="1:10" s="560" customFormat="1" ht="24" customHeight="1">
      <c r="A66" s="524"/>
      <c r="B66" s="560" t="s">
        <v>788</v>
      </c>
      <c r="D66" s="524"/>
      <c r="E66" s="524"/>
      <c r="F66" s="1008" t="s">
        <v>1524</v>
      </c>
      <c r="G66" s="524"/>
      <c r="H66" s="353">
        <v>9000000</v>
      </c>
      <c r="I66" s="1018"/>
      <c r="J66" s="353">
        <v>9000000</v>
      </c>
    </row>
    <row r="67" spans="2:10" ht="24" customHeight="1">
      <c r="B67" s="560"/>
      <c r="C67" s="560" t="s">
        <v>212</v>
      </c>
      <c r="H67" s="1022">
        <f>SUM(H59:H66)</f>
        <v>218627360</v>
      </c>
      <c r="I67" s="1023"/>
      <c r="J67" s="1022">
        <f>SUM(J59:J66)</f>
        <v>95901125</v>
      </c>
    </row>
    <row r="68" spans="2:10" ht="24" customHeight="1" thickBot="1">
      <c r="B68" s="560" t="s">
        <v>260</v>
      </c>
      <c r="C68" s="560"/>
      <c r="H68" s="1024">
        <f>+H57+H67</f>
        <v>850527360</v>
      </c>
      <c r="I68" s="1023"/>
      <c r="J68" s="1024">
        <f>+J57+J67</f>
        <v>311901125</v>
      </c>
    </row>
    <row r="69" spans="2:10" ht="3" customHeight="1" thickTop="1">
      <c r="B69" s="560"/>
      <c r="C69" s="560"/>
      <c r="H69" s="1025"/>
      <c r="I69" s="1023"/>
      <c r="J69" s="1025"/>
    </row>
    <row r="70" spans="2:3" ht="24" customHeight="1">
      <c r="B70" s="560" t="s">
        <v>1735</v>
      </c>
      <c r="C70" s="560"/>
    </row>
    <row r="71" spans="1:10" ht="24" customHeight="1">
      <c r="A71" s="560" t="s">
        <v>1736</v>
      </c>
      <c r="B71" s="560"/>
      <c r="C71" s="560"/>
      <c r="D71" s="560"/>
      <c r="E71" s="560"/>
      <c r="G71" s="560"/>
      <c r="H71" s="560"/>
      <c r="I71" s="560"/>
      <c r="J71" s="560"/>
    </row>
    <row r="72" spans="2:3" ht="24" customHeight="1">
      <c r="B72" s="560" t="s">
        <v>789</v>
      </c>
      <c r="C72" s="560"/>
    </row>
    <row r="73" spans="1:10" ht="24" customHeight="1">
      <c r="A73" s="560" t="s">
        <v>1525</v>
      </c>
      <c r="B73" s="560"/>
      <c r="C73" s="560"/>
      <c r="D73" s="560"/>
      <c r="E73" s="560"/>
      <c r="G73" s="560"/>
      <c r="H73" s="560"/>
      <c r="I73" s="560"/>
      <c r="J73" s="560"/>
    </row>
    <row r="74" spans="1:10" ht="24" customHeight="1">
      <c r="A74" s="560" t="s">
        <v>790</v>
      </c>
      <c r="B74" s="560"/>
      <c r="C74" s="560"/>
      <c r="D74" s="560"/>
      <c r="E74" s="560"/>
      <c r="G74" s="560"/>
      <c r="H74" s="560"/>
      <c r="I74" s="560"/>
      <c r="J74" s="560"/>
    </row>
    <row r="75" spans="1:10" ht="5.25" customHeight="1">
      <c r="A75" s="560"/>
      <c r="B75" s="560"/>
      <c r="C75" s="560"/>
      <c r="D75" s="560"/>
      <c r="E75" s="560"/>
      <c r="G75" s="560"/>
      <c r="H75" s="560"/>
      <c r="I75" s="560"/>
      <c r="J75" s="560"/>
    </row>
    <row r="76" ht="24" customHeight="1">
      <c r="B76" s="560" t="s">
        <v>127</v>
      </c>
    </row>
    <row r="77" spans="2:3" ht="24" customHeight="1">
      <c r="B77" s="1008" t="s">
        <v>230</v>
      </c>
      <c r="C77" s="560" t="s">
        <v>631</v>
      </c>
    </row>
    <row r="78" spans="2:3" ht="24" customHeight="1">
      <c r="B78" s="1008" t="s">
        <v>132</v>
      </c>
      <c r="C78" s="560" t="s">
        <v>128</v>
      </c>
    </row>
    <row r="79" spans="1:10" s="560" customFormat="1" ht="24" customHeight="1">
      <c r="A79" s="524"/>
      <c r="B79" s="1008" t="s">
        <v>133</v>
      </c>
      <c r="C79" s="560" t="s">
        <v>129</v>
      </c>
      <c r="D79" s="524"/>
      <c r="E79" s="524"/>
      <c r="F79" s="1008"/>
      <c r="G79" s="524"/>
      <c r="H79" s="524"/>
      <c r="I79" s="524"/>
      <c r="J79" s="524"/>
    </row>
    <row r="80" spans="2:3" ht="24" customHeight="1">
      <c r="B80" s="1008" t="s">
        <v>134</v>
      </c>
      <c r="C80" s="560" t="s">
        <v>130</v>
      </c>
    </row>
    <row r="81" spans="1:10" s="560" customFormat="1" ht="24" customHeight="1">
      <c r="A81" s="524"/>
      <c r="B81" s="1008" t="s">
        <v>135</v>
      </c>
      <c r="C81" s="560" t="s">
        <v>131</v>
      </c>
      <c r="D81" s="524"/>
      <c r="E81" s="524"/>
      <c r="F81" s="1008"/>
      <c r="G81" s="524"/>
      <c r="H81" s="524"/>
      <c r="I81" s="524"/>
      <c r="J81" s="524"/>
    </row>
    <row r="82" spans="1:10" s="560" customFormat="1" ht="24" customHeight="1">
      <c r="A82" s="524"/>
      <c r="B82" s="1008" t="s">
        <v>175</v>
      </c>
      <c r="C82" s="228" t="s">
        <v>177</v>
      </c>
      <c r="D82" s="524"/>
      <c r="E82" s="524"/>
      <c r="F82" s="1008"/>
      <c r="G82" s="524"/>
      <c r="H82" s="524"/>
      <c r="I82" s="524"/>
      <c r="J82" s="524"/>
    </row>
    <row r="83" spans="1:10" s="560" customFormat="1" ht="4.5" customHeight="1">
      <c r="A83" s="524"/>
      <c r="B83" s="1008"/>
      <c r="C83" s="228"/>
      <c r="D83" s="524"/>
      <c r="E83" s="524"/>
      <c r="F83" s="1008"/>
      <c r="G83" s="524"/>
      <c r="H83" s="524"/>
      <c r="I83" s="524"/>
      <c r="J83" s="524"/>
    </row>
    <row r="84" spans="1:10" s="596" customFormat="1" ht="25.5" customHeight="1">
      <c r="A84" s="821" t="s">
        <v>1358</v>
      </c>
      <c r="B84" s="821"/>
      <c r="C84" s="538"/>
      <c r="D84" s="821"/>
      <c r="E84" s="821"/>
      <c r="F84" s="821"/>
      <c r="G84" s="821"/>
      <c r="H84" s="821"/>
      <c r="I84" s="821"/>
      <c r="J84" s="822"/>
    </row>
    <row r="85" ht="27.75" customHeight="1"/>
  </sheetData>
  <sheetProtection/>
  <printOptions horizontalCentered="1"/>
  <pageMargins left="0.5905511811023623" right="0.15748031496062992" top="0.5905511811023623" bottom="0.1968503937007874" header="0.2362204724409449" footer="0.1968503937007874"/>
  <pageSetup fitToHeight="7"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N9" sqref="N9"/>
    </sheetView>
  </sheetViews>
  <sheetFormatPr defaultColWidth="9.140625" defaultRowHeight="24" customHeight="1"/>
  <cols>
    <col min="1" max="1" width="34.7109375" style="278" customWidth="1"/>
    <col min="2" max="2" width="4.8515625" style="278" customWidth="1"/>
    <col min="3" max="3" width="0.85546875" style="278" customWidth="1"/>
    <col min="4" max="4" width="16.00390625" style="278" customWidth="1"/>
    <col min="5" max="5" width="0.85546875" style="278" customWidth="1"/>
    <col min="6" max="6" width="15.421875" style="278" customWidth="1"/>
    <col min="7" max="7" width="0.85546875" style="278" customWidth="1"/>
    <col min="8" max="8" width="16.00390625" style="278" customWidth="1"/>
    <col min="9" max="9" width="0.85546875" style="278" customWidth="1"/>
    <col min="10" max="10" width="15.00390625" style="278" customWidth="1"/>
    <col min="11" max="11" width="0.85546875" style="278" customWidth="1"/>
    <col min="12" max="12" width="15.57421875" style="278" customWidth="1"/>
    <col min="13" max="13" width="0.85546875" style="278" customWidth="1"/>
    <col min="14" max="14" width="15.421875" style="278" customWidth="1"/>
    <col min="15" max="15" width="0.9921875" style="278" customWidth="1"/>
    <col min="16" max="16" width="16.00390625" style="278" customWidth="1"/>
    <col min="17" max="17" width="1.1484375" style="278" customWidth="1"/>
    <col min="18" max="18" width="16.140625" style="278" customWidth="1"/>
    <col min="19" max="19" width="4.140625" style="278" customWidth="1"/>
    <col min="20" max="16384" width="9.140625" style="278" customWidth="1"/>
  </cols>
  <sheetData>
    <row r="1" spans="1:18" ht="24" customHeight="1">
      <c r="A1" s="277" t="s">
        <v>1635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ht="24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</row>
    <row r="3" ht="23.25">
      <c r="A3" s="279" t="s">
        <v>1765</v>
      </c>
    </row>
    <row r="4" ht="23.25">
      <c r="A4" s="278" t="s">
        <v>1543</v>
      </c>
    </row>
    <row r="5" ht="23.25">
      <c r="A5" s="278" t="s">
        <v>1544</v>
      </c>
    </row>
    <row r="6" ht="23.25">
      <c r="A6" s="278" t="s">
        <v>1545</v>
      </c>
    </row>
    <row r="7" ht="23.25">
      <c r="A7" s="278" t="s">
        <v>537</v>
      </c>
    </row>
    <row r="8" ht="23.25">
      <c r="A8" s="278" t="s">
        <v>1861</v>
      </c>
    </row>
    <row r="9" ht="23.25">
      <c r="A9" s="278" t="s">
        <v>1862</v>
      </c>
    </row>
    <row r="10" ht="23.25">
      <c r="R10" s="280" t="s">
        <v>261</v>
      </c>
    </row>
    <row r="11" spans="4:18" ht="23.25">
      <c r="D11" s="281" t="s">
        <v>655</v>
      </c>
      <c r="E11" s="281"/>
      <c r="F11" s="281"/>
      <c r="H11" s="281" t="s">
        <v>262</v>
      </c>
      <c r="I11" s="281"/>
      <c r="J11" s="281"/>
      <c r="L11" s="281" t="s">
        <v>174</v>
      </c>
      <c r="M11" s="281"/>
      <c r="N11" s="281"/>
      <c r="P11" s="281" t="s">
        <v>212</v>
      </c>
      <c r="Q11" s="281"/>
      <c r="R11" s="281"/>
    </row>
    <row r="12" spans="4:18" ht="23.25">
      <c r="D12" s="315" t="s">
        <v>898</v>
      </c>
      <c r="E12" s="282"/>
      <c r="F12" s="315" t="s">
        <v>747</v>
      </c>
      <c r="G12" s="283"/>
      <c r="H12" s="315" t="s">
        <v>898</v>
      </c>
      <c r="I12" s="282"/>
      <c r="J12" s="315" t="s">
        <v>747</v>
      </c>
      <c r="K12" s="283"/>
      <c r="L12" s="315" t="s">
        <v>898</v>
      </c>
      <c r="M12" s="282"/>
      <c r="N12" s="315" t="s">
        <v>747</v>
      </c>
      <c r="O12" s="283"/>
      <c r="P12" s="315" t="s">
        <v>898</v>
      </c>
      <c r="Q12" s="282"/>
      <c r="R12" s="315" t="s">
        <v>747</v>
      </c>
    </row>
    <row r="13" spans="1:18" ht="23.25">
      <c r="A13" s="278" t="s">
        <v>563</v>
      </c>
      <c r="D13" s="287">
        <f>3964693+38829+2015</f>
        <v>4005537</v>
      </c>
      <c r="E13" s="284"/>
      <c r="F13" s="287">
        <f>1858652+17862</f>
        <v>1876514</v>
      </c>
      <c r="G13" s="284"/>
      <c r="H13" s="287">
        <v>2518310</v>
      </c>
      <c r="I13" s="284"/>
      <c r="J13" s="287">
        <v>2426924</v>
      </c>
      <c r="K13" s="284"/>
      <c r="L13" s="287">
        <v>209124</v>
      </c>
      <c r="M13" s="284"/>
      <c r="N13" s="287">
        <v>271796</v>
      </c>
      <c r="O13" s="284"/>
      <c r="P13" s="287">
        <f>SUM(D13,H13,L13)</f>
        <v>6732971</v>
      </c>
      <c r="Q13" s="284"/>
      <c r="R13" s="284">
        <f>SUM(F13,J13,N13)</f>
        <v>4575234</v>
      </c>
    </row>
    <row r="14" spans="1:18" ht="23.25">
      <c r="A14" s="278" t="s">
        <v>564</v>
      </c>
      <c r="D14" s="285">
        <f>-236190+1355+2549</f>
        <v>-232286</v>
      </c>
      <c r="E14" s="286"/>
      <c r="F14" s="285">
        <f>-92530-2477</f>
        <v>-95007</v>
      </c>
      <c r="G14" s="286"/>
      <c r="H14" s="285">
        <v>-2214876</v>
      </c>
      <c r="I14" s="286"/>
      <c r="J14" s="285">
        <v>-2173293</v>
      </c>
      <c r="K14" s="286"/>
      <c r="L14" s="285">
        <f>-30650-2513</f>
        <v>-33163</v>
      </c>
      <c r="M14" s="286"/>
      <c r="N14" s="285">
        <v>-63361</v>
      </c>
      <c r="O14" s="286"/>
      <c r="P14" s="285">
        <f>SUM(D14,H14,L14)</f>
        <v>-2480325</v>
      </c>
      <c r="Q14" s="286"/>
      <c r="R14" s="285">
        <f>SUM(F14,J14,N14)</f>
        <v>-2331661</v>
      </c>
    </row>
    <row r="15" spans="1:18" ht="23.25">
      <c r="A15" s="278" t="s">
        <v>565</v>
      </c>
      <c r="D15" s="284">
        <f>SUM(D13:D14)</f>
        <v>3773251</v>
      </c>
      <c r="E15" s="284"/>
      <c r="F15" s="284">
        <f>SUM(F13:F14)</f>
        <v>1781507</v>
      </c>
      <c r="G15" s="284"/>
      <c r="H15" s="284">
        <f>SUM(H13:H14)</f>
        <v>303434</v>
      </c>
      <c r="I15" s="284"/>
      <c r="J15" s="284">
        <f>SUM(J13:J14)</f>
        <v>253631</v>
      </c>
      <c r="K15" s="284"/>
      <c r="L15" s="284">
        <f>SUM(L13:L14)</f>
        <v>175961</v>
      </c>
      <c r="M15" s="284"/>
      <c r="N15" s="284">
        <f>SUM(N13:N14)</f>
        <v>208435</v>
      </c>
      <c r="O15" s="284"/>
      <c r="P15" s="284">
        <f>SUM(P13:P14)</f>
        <v>4252646</v>
      </c>
      <c r="Q15" s="284"/>
      <c r="R15" s="284">
        <f>SUM(R13:R14)</f>
        <v>2243573</v>
      </c>
    </row>
    <row r="16" spans="1:18" ht="23.25">
      <c r="A16" s="278" t="s">
        <v>566</v>
      </c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>
        <f>-643518-9000</f>
        <v>-652518</v>
      </c>
      <c r="Q16" s="284"/>
      <c r="R16" s="284">
        <v>-490863</v>
      </c>
    </row>
    <row r="17" spans="1:18" ht="23.25">
      <c r="A17" s="278" t="s">
        <v>399</v>
      </c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>
        <v>-112574</v>
      </c>
      <c r="Q17" s="284"/>
      <c r="R17" s="284">
        <v>-43771</v>
      </c>
    </row>
    <row r="18" spans="1:18" ht="23.25">
      <c r="A18" s="288" t="s">
        <v>504</v>
      </c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5">
        <v>-317021</v>
      </c>
      <c r="Q18" s="284"/>
      <c r="R18" s="285">
        <v>-11283</v>
      </c>
    </row>
    <row r="19" spans="1:18" ht="24" thickBot="1">
      <c r="A19" s="278" t="s">
        <v>567</v>
      </c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9">
        <f>SUM(P15:P18)</f>
        <v>3170533</v>
      </c>
      <c r="Q19" s="286"/>
      <c r="R19" s="289">
        <f>SUM(R15:R18)</f>
        <v>1697656</v>
      </c>
    </row>
    <row r="20" spans="1:18" ht="24" thickTop="1">
      <c r="A20" s="278" t="s">
        <v>568</v>
      </c>
      <c r="D20" s="284">
        <v>172416</v>
      </c>
      <c r="E20" s="284"/>
      <c r="F20" s="284">
        <v>162495</v>
      </c>
      <c r="G20" s="284"/>
      <c r="H20" s="284">
        <v>828624</v>
      </c>
      <c r="I20" s="284"/>
      <c r="J20" s="284">
        <v>752478</v>
      </c>
      <c r="K20" s="284"/>
      <c r="L20" s="284">
        <v>319399</v>
      </c>
      <c r="M20" s="284"/>
      <c r="N20" s="284">
        <v>317206</v>
      </c>
      <c r="O20" s="284"/>
      <c r="P20" s="371">
        <f>SUM(D20,H20,L20)</f>
        <v>1320439</v>
      </c>
      <c r="Q20" s="286"/>
      <c r="R20" s="286">
        <f>SUM(F20,J20,N20)</f>
        <v>1232179</v>
      </c>
    </row>
    <row r="21" spans="1:18" ht="23.25">
      <c r="A21" s="278" t="s">
        <v>569</v>
      </c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6"/>
      <c r="P21" s="286">
        <f>33807398+2015</f>
        <v>33809413</v>
      </c>
      <c r="Q21" s="286"/>
      <c r="R21" s="286">
        <v>23984233</v>
      </c>
    </row>
    <row r="22" spans="1:18" ht="24" thickBot="1">
      <c r="A22" s="278" t="s">
        <v>570</v>
      </c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6"/>
      <c r="P22" s="289">
        <f>SUM(P20:P21)</f>
        <v>35129852</v>
      </c>
      <c r="Q22" s="286"/>
      <c r="R22" s="289">
        <f>SUM(R20:R21)</f>
        <v>25216412</v>
      </c>
    </row>
    <row r="23" spans="1:18" ht="24" thickTop="1">
      <c r="A23" s="278" t="s">
        <v>571</v>
      </c>
      <c r="D23" s="284">
        <v>0</v>
      </c>
      <c r="E23" s="284"/>
      <c r="F23" s="284">
        <v>600</v>
      </c>
      <c r="G23" s="284"/>
      <c r="H23" s="284">
        <v>331713</v>
      </c>
      <c r="I23" s="284"/>
      <c r="J23" s="284">
        <v>277933</v>
      </c>
      <c r="K23" s="284"/>
      <c r="L23" s="284">
        <v>102312</v>
      </c>
      <c r="M23" s="284"/>
      <c r="N23" s="284">
        <v>7995</v>
      </c>
      <c r="O23" s="284"/>
      <c r="P23" s="371">
        <f>SUM(D23,H23,L23)</f>
        <v>434025</v>
      </c>
      <c r="Q23" s="286"/>
      <c r="R23" s="286">
        <f>SUM(F23,J23,N23)</f>
        <v>286528</v>
      </c>
    </row>
    <row r="24" spans="1:18" ht="23.25">
      <c r="A24" s="278" t="s">
        <v>572</v>
      </c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>
        <f>9953679+13116</f>
        <v>9966795</v>
      </c>
      <c r="Q24" s="286"/>
      <c r="R24" s="286">
        <v>2351595</v>
      </c>
    </row>
    <row r="25" spans="1:18" ht="24" thickBot="1">
      <c r="A25" s="278" t="s">
        <v>573</v>
      </c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9">
        <f>SUM(P23:P24)</f>
        <v>10400820</v>
      </c>
      <c r="Q25" s="286"/>
      <c r="R25" s="289">
        <f>SUM(R23:R24)</f>
        <v>2638123</v>
      </c>
    </row>
    <row r="26" spans="16:18" ht="13.5" customHeight="1" thickTop="1">
      <c r="P26" s="283"/>
      <c r="R26" s="283"/>
    </row>
    <row r="27" spans="1:18" s="28" customFormat="1" ht="23.25">
      <c r="A27" s="1026" t="s">
        <v>1546</v>
      </c>
      <c r="B27" s="1026"/>
      <c r="C27" s="1026"/>
      <c r="D27" s="1026"/>
      <c r="E27" s="1026"/>
      <c r="F27" s="1026"/>
      <c r="G27" s="1026"/>
      <c r="H27" s="1026"/>
      <c r="I27" s="1026"/>
      <c r="J27" s="1026"/>
      <c r="K27" s="1026"/>
      <c r="L27" s="1026"/>
      <c r="M27" s="1026"/>
      <c r="N27" s="1026"/>
      <c r="O27" s="1026"/>
      <c r="P27" s="1027"/>
      <c r="Q27" s="1026"/>
      <c r="R27" s="1027"/>
    </row>
    <row r="28" ht="23.25"/>
  </sheetData>
  <sheetProtection/>
  <printOptions/>
  <pageMargins left="0.3937007874015748" right="0" top="0.3937007874015748" bottom="0" header="0.2362204724409449" footer="0.275590551181102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A2" sqref="A2"/>
    </sheetView>
  </sheetViews>
  <sheetFormatPr defaultColWidth="9.140625" defaultRowHeight="24" customHeight="1"/>
  <cols>
    <col min="1" max="1" width="33.421875" style="288" customWidth="1"/>
    <col min="2" max="2" width="3.28125" style="288" customWidth="1"/>
    <col min="3" max="3" width="0.85546875" style="288" customWidth="1"/>
    <col min="4" max="4" width="12.8515625" style="288" customWidth="1"/>
    <col min="5" max="5" width="0.85546875" style="288" customWidth="1"/>
    <col min="6" max="6" width="12.8515625" style="288" customWidth="1"/>
    <col min="7" max="7" width="0.85546875" style="288" customWidth="1"/>
    <col min="8" max="8" width="12.8515625" style="288" customWidth="1"/>
    <col min="9" max="9" width="0.85546875" style="288" customWidth="1"/>
    <col min="10" max="10" width="12.8515625" style="288" customWidth="1"/>
    <col min="11" max="11" width="0.85546875" style="288" customWidth="1"/>
    <col min="12" max="12" width="12.8515625" style="288" customWidth="1"/>
    <col min="13" max="13" width="0.85546875" style="288" customWidth="1"/>
    <col min="14" max="14" width="12.8515625" style="288" customWidth="1"/>
    <col min="15" max="15" width="0.85546875" style="288" customWidth="1"/>
    <col min="16" max="16" width="12.8515625" style="288" customWidth="1"/>
    <col min="17" max="17" width="1.1484375" style="288" customWidth="1"/>
    <col min="18" max="18" width="12.8515625" style="288" customWidth="1"/>
    <col min="19" max="19" width="2.00390625" style="288" customWidth="1"/>
    <col min="20" max="16384" width="9.140625" style="288" customWidth="1"/>
  </cols>
  <sheetData>
    <row r="1" spans="1:18" ht="24" customHeight="1">
      <c r="A1" s="1028" t="s">
        <v>1636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</row>
    <row r="3" ht="24" customHeight="1">
      <c r="A3" s="290" t="s">
        <v>1766</v>
      </c>
    </row>
    <row r="4" ht="24" customHeight="1">
      <c r="A4" s="288" t="s">
        <v>1767</v>
      </c>
    </row>
    <row r="5" ht="24" customHeight="1">
      <c r="R5" s="291" t="s">
        <v>261</v>
      </c>
    </row>
    <row r="6" spans="4:18" ht="24" customHeight="1">
      <c r="D6" s="292" t="s">
        <v>655</v>
      </c>
      <c r="E6" s="292"/>
      <c r="F6" s="292"/>
      <c r="H6" s="292" t="s">
        <v>262</v>
      </c>
      <c r="I6" s="292"/>
      <c r="J6" s="292"/>
      <c r="L6" s="281" t="s">
        <v>174</v>
      </c>
      <c r="M6" s="292"/>
      <c r="N6" s="292"/>
      <c r="P6" s="292" t="s">
        <v>212</v>
      </c>
      <c r="Q6" s="292"/>
      <c r="R6" s="292"/>
    </row>
    <row r="7" spans="4:18" s="278" customFormat="1" ht="24" customHeight="1">
      <c r="D7" s="315" t="s">
        <v>898</v>
      </c>
      <c r="E7" s="282"/>
      <c r="F7" s="315" t="s">
        <v>747</v>
      </c>
      <c r="G7" s="283"/>
      <c r="H7" s="315" t="s">
        <v>898</v>
      </c>
      <c r="I7" s="282"/>
      <c r="J7" s="315" t="s">
        <v>747</v>
      </c>
      <c r="K7" s="283"/>
      <c r="L7" s="315" t="s">
        <v>898</v>
      </c>
      <c r="M7" s="282"/>
      <c r="N7" s="315" t="s">
        <v>747</v>
      </c>
      <c r="O7" s="283"/>
      <c r="P7" s="315" t="s">
        <v>898</v>
      </c>
      <c r="Q7" s="282"/>
      <c r="R7" s="315" t="s">
        <v>747</v>
      </c>
    </row>
    <row r="8" spans="1:18" ht="24" customHeight="1">
      <c r="A8" s="288" t="s">
        <v>563</v>
      </c>
      <c r="D8" s="287">
        <v>2214598</v>
      </c>
      <c r="E8" s="284"/>
      <c r="F8" s="287">
        <v>929189</v>
      </c>
      <c r="G8" s="284"/>
      <c r="H8" s="287">
        <v>2482005</v>
      </c>
      <c r="I8" s="284"/>
      <c r="J8" s="287">
        <v>2426924</v>
      </c>
      <c r="K8" s="284"/>
      <c r="L8" s="287">
        <v>209124</v>
      </c>
      <c r="M8" s="284"/>
      <c r="N8" s="287">
        <v>271796</v>
      </c>
      <c r="O8" s="284"/>
      <c r="P8" s="287">
        <f>SUM(D8,H8,L8)</f>
        <v>4905727</v>
      </c>
      <c r="Q8" s="284"/>
      <c r="R8" s="284">
        <f>SUM(F8,J8,N8)</f>
        <v>3627909</v>
      </c>
    </row>
    <row r="9" spans="1:18" ht="24" customHeight="1">
      <c r="A9" s="288" t="s">
        <v>564</v>
      </c>
      <c r="D9" s="285">
        <v>-215454</v>
      </c>
      <c r="E9" s="286"/>
      <c r="F9" s="285">
        <v>-47958</v>
      </c>
      <c r="G9" s="286"/>
      <c r="H9" s="285">
        <v>-2204247</v>
      </c>
      <c r="I9" s="286"/>
      <c r="J9" s="285">
        <v>-2173293</v>
      </c>
      <c r="K9" s="286"/>
      <c r="L9" s="285">
        <f>-30650-2513</f>
        <v>-33163</v>
      </c>
      <c r="M9" s="286"/>
      <c r="N9" s="285">
        <v>-63361</v>
      </c>
      <c r="O9" s="286"/>
      <c r="P9" s="285">
        <f>SUM(D9,H9,L9)</f>
        <v>-2452864</v>
      </c>
      <c r="Q9" s="286"/>
      <c r="R9" s="285">
        <f>SUM(F9,J9,N9)</f>
        <v>-2284612</v>
      </c>
    </row>
    <row r="10" spans="1:18" ht="24" customHeight="1">
      <c r="A10" s="288" t="s">
        <v>565</v>
      </c>
      <c r="D10" s="284">
        <f>SUM(D8:D9)</f>
        <v>1999144</v>
      </c>
      <c r="E10" s="284"/>
      <c r="F10" s="284">
        <f>SUM(F8:F9)</f>
        <v>881231</v>
      </c>
      <c r="G10" s="284"/>
      <c r="H10" s="284">
        <f>SUM(H8:H9)</f>
        <v>277758</v>
      </c>
      <c r="I10" s="284"/>
      <c r="J10" s="284">
        <f>SUM(J8:J9)</f>
        <v>253631</v>
      </c>
      <c r="K10" s="284"/>
      <c r="L10" s="284">
        <f>SUM(L8:L9)</f>
        <v>175961</v>
      </c>
      <c r="M10" s="284"/>
      <c r="N10" s="284">
        <f>SUM(N8:N9)</f>
        <v>208435</v>
      </c>
      <c r="O10" s="284"/>
      <c r="P10" s="284">
        <f>SUM(P8:P9)</f>
        <v>2452863</v>
      </c>
      <c r="Q10" s="284"/>
      <c r="R10" s="284">
        <f>SUM(R8:R9)</f>
        <v>1343297</v>
      </c>
    </row>
    <row r="11" spans="1:18" ht="24" customHeight="1">
      <c r="A11" s="288" t="s">
        <v>566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>
        <v>-640595</v>
      </c>
      <c r="Q11" s="284"/>
      <c r="R11" s="284">
        <v>-506363</v>
      </c>
    </row>
    <row r="12" spans="1:18" ht="24" customHeight="1">
      <c r="A12" s="278" t="s">
        <v>399</v>
      </c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>
        <v>-112574</v>
      </c>
      <c r="Q12" s="284"/>
      <c r="R12" s="284">
        <v>-43771</v>
      </c>
    </row>
    <row r="13" spans="1:18" ht="24" customHeight="1">
      <c r="A13" s="288" t="s">
        <v>504</v>
      </c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5">
        <v>-143330</v>
      </c>
      <c r="Q13" s="284"/>
      <c r="R13" s="285">
        <v>-9233</v>
      </c>
    </row>
    <row r="14" spans="1:18" ht="24" customHeight="1" thickBot="1">
      <c r="A14" s="288" t="s">
        <v>567</v>
      </c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9">
        <f>SUM(P10:P13)</f>
        <v>1556364</v>
      </c>
      <c r="Q14" s="286"/>
      <c r="R14" s="289">
        <f>SUM(R10:R13)</f>
        <v>783930</v>
      </c>
    </row>
    <row r="15" spans="1:18" ht="24" customHeight="1" thickTop="1">
      <c r="A15" s="288" t="s">
        <v>568</v>
      </c>
      <c r="D15" s="284">
        <v>170255</v>
      </c>
      <c r="E15" s="284"/>
      <c r="F15" s="284">
        <v>162495</v>
      </c>
      <c r="G15" s="284"/>
      <c r="H15" s="284">
        <v>828623</v>
      </c>
      <c r="I15" s="284"/>
      <c r="J15" s="284">
        <v>752478</v>
      </c>
      <c r="K15" s="284"/>
      <c r="L15" s="284">
        <v>319399</v>
      </c>
      <c r="M15" s="284"/>
      <c r="N15" s="284">
        <v>317206</v>
      </c>
      <c r="O15" s="284"/>
      <c r="P15" s="371">
        <f>SUM(D15,H15,L15)</f>
        <v>1318277</v>
      </c>
      <c r="Q15" s="286"/>
      <c r="R15" s="286">
        <f>SUM(F15,J15,N15)</f>
        <v>1232179</v>
      </c>
    </row>
    <row r="16" spans="1:18" ht="24" customHeight="1">
      <c r="A16" s="288" t="s">
        <v>569</v>
      </c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6"/>
      <c r="P16" s="286">
        <f>19620785-2470</f>
        <v>19618315</v>
      </c>
      <c r="Q16" s="286"/>
      <c r="R16" s="286">
        <v>10977577</v>
      </c>
    </row>
    <row r="17" spans="1:18" ht="24" customHeight="1" thickBot="1">
      <c r="A17" s="288" t="s">
        <v>570</v>
      </c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6"/>
      <c r="P17" s="289">
        <f>SUM(P15:P16)</f>
        <v>20936592</v>
      </c>
      <c r="Q17" s="286"/>
      <c r="R17" s="289">
        <f>SUM(R15:R16)</f>
        <v>12209756</v>
      </c>
    </row>
    <row r="18" spans="1:18" ht="24" customHeight="1" thickTop="1">
      <c r="A18" s="288" t="s">
        <v>571</v>
      </c>
      <c r="D18" s="284">
        <v>0</v>
      </c>
      <c r="E18" s="284"/>
      <c r="F18" s="284">
        <v>600</v>
      </c>
      <c r="G18" s="284"/>
      <c r="H18" s="284">
        <v>331713</v>
      </c>
      <c r="I18" s="284"/>
      <c r="J18" s="284">
        <v>277933</v>
      </c>
      <c r="K18" s="284"/>
      <c r="L18" s="284">
        <v>102312</v>
      </c>
      <c r="M18" s="284"/>
      <c r="N18" s="284">
        <v>7995</v>
      </c>
      <c r="O18" s="284"/>
      <c r="P18" s="371">
        <f>SUM(D18,H18,L18)</f>
        <v>434025</v>
      </c>
      <c r="Q18" s="286"/>
      <c r="R18" s="286">
        <f>SUM(F18,J18,N18)</f>
        <v>286528</v>
      </c>
    </row>
    <row r="19" spans="1:18" ht="24" customHeight="1">
      <c r="A19" s="288" t="s">
        <v>572</v>
      </c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>
        <f>9773422+7242.76</f>
        <v>9780664.76</v>
      </c>
      <c r="Q19" s="286"/>
      <c r="R19" s="286">
        <v>2351595</v>
      </c>
    </row>
    <row r="20" spans="1:18" ht="24" customHeight="1" thickBot="1">
      <c r="A20" s="288" t="s">
        <v>573</v>
      </c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9">
        <f>SUM(P18:P19)</f>
        <v>10214689.76</v>
      </c>
      <c r="Q20" s="286"/>
      <c r="R20" s="289">
        <f>SUM(R18:R19)</f>
        <v>2638123</v>
      </c>
    </row>
    <row r="21" spans="16:18" ht="24" customHeight="1" thickTop="1">
      <c r="P21" s="293"/>
      <c r="R21" s="293"/>
    </row>
    <row r="22" spans="16:18" ht="24" customHeight="1">
      <c r="P22" s="293"/>
      <c r="R22" s="293"/>
    </row>
    <row r="23" spans="1:18" s="28" customFormat="1" ht="24" customHeight="1">
      <c r="A23" s="1026" t="s">
        <v>1546</v>
      </c>
      <c r="B23" s="1026"/>
      <c r="C23" s="1026"/>
      <c r="D23" s="1026"/>
      <c r="E23" s="1026"/>
      <c r="F23" s="1026"/>
      <c r="G23" s="1026"/>
      <c r="H23" s="1026"/>
      <c r="I23" s="1026"/>
      <c r="J23" s="1026"/>
      <c r="K23" s="1026"/>
      <c r="L23" s="1026"/>
      <c r="M23" s="1026"/>
      <c r="N23" s="1026"/>
      <c r="O23" s="1026"/>
      <c r="P23" s="1027"/>
      <c r="Q23" s="1026"/>
      <c r="R23" s="1027"/>
    </row>
  </sheetData>
  <sheetProtection/>
  <printOptions horizontalCentered="1"/>
  <pageMargins left="0.3937007874015748" right="0" top="0.3937007874015748" bottom="0" header="0.2362204724409449" footer="0.275590551181102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3"/>
  <sheetViews>
    <sheetView zoomScaleSheetLayoutView="85" workbookViewId="0" topLeftCell="A1">
      <selection activeCell="C225" sqref="C225"/>
    </sheetView>
  </sheetViews>
  <sheetFormatPr defaultColWidth="9.140625" defaultRowHeight="24" customHeight="1"/>
  <cols>
    <col min="1" max="1" width="7.57421875" style="596" customWidth="1"/>
    <col min="2" max="2" width="5.8515625" style="596" customWidth="1"/>
    <col min="3" max="3" width="32.421875" style="596" customWidth="1"/>
    <col min="4" max="4" width="23.421875" style="596" customWidth="1"/>
    <col min="5" max="5" width="1.7109375" style="596" customWidth="1"/>
    <col min="6" max="6" width="23.28125" style="596" customWidth="1"/>
    <col min="7" max="7" width="1.7109375" style="596" customWidth="1"/>
    <col min="8" max="8" width="23.57421875" style="596" customWidth="1"/>
    <col min="9" max="9" width="1.7109375" style="596" customWidth="1"/>
    <col min="10" max="10" width="22.00390625" style="596" customWidth="1"/>
    <col min="11" max="11" width="8.421875" style="596" customWidth="1"/>
    <col min="12" max="13" width="9.140625" style="596" customWidth="1"/>
    <col min="14" max="14" width="12.7109375" style="596" bestFit="1" customWidth="1"/>
    <col min="15" max="16384" width="9.140625" style="596" customWidth="1"/>
  </cols>
  <sheetData>
    <row r="1" spans="1:10" ht="24" customHeight="1">
      <c r="A1" s="1029" t="s">
        <v>1637</v>
      </c>
      <c r="B1" s="1029"/>
      <c r="C1" s="1029"/>
      <c r="D1" s="1029"/>
      <c r="E1" s="1029"/>
      <c r="F1" s="1029"/>
      <c r="G1" s="1029"/>
      <c r="H1" s="1029"/>
      <c r="I1" s="1029"/>
      <c r="J1" s="1029"/>
    </row>
    <row r="2" spans="1:10" ht="24" customHeight="1">
      <c r="A2" s="1030"/>
      <c r="B2" s="1030"/>
      <c r="C2" s="1030"/>
      <c r="D2" s="1030"/>
      <c r="E2" s="1030"/>
      <c r="F2" s="1030"/>
      <c r="G2" s="1030"/>
      <c r="H2" s="1030"/>
      <c r="I2" s="1030"/>
      <c r="J2" s="1030"/>
    </row>
    <row r="3" ht="24" customHeight="1">
      <c r="A3" s="1031" t="s">
        <v>1768</v>
      </c>
    </row>
    <row r="4" spans="1:2" ht="24" customHeight="1">
      <c r="A4" s="596" t="s">
        <v>263</v>
      </c>
      <c r="B4" s="596" t="s">
        <v>1547</v>
      </c>
    </row>
    <row r="5" ht="24" customHeight="1">
      <c r="A5" s="596" t="s">
        <v>1569</v>
      </c>
    </row>
    <row r="6" ht="24" customHeight="1">
      <c r="B6" s="596" t="s">
        <v>1548</v>
      </c>
    </row>
    <row r="7" spans="1:10" ht="24" customHeight="1">
      <c r="A7" s="596" t="s">
        <v>372</v>
      </c>
      <c r="J7" s="1032" t="s">
        <v>214</v>
      </c>
    </row>
    <row r="8" spans="4:10" ht="24" customHeight="1">
      <c r="D8" s="499"/>
      <c r="E8" s="1040"/>
      <c r="F8" s="499" t="s">
        <v>1171</v>
      </c>
      <c r="G8" s="501"/>
      <c r="H8" s="502"/>
      <c r="I8" s="503"/>
      <c r="J8" s="504"/>
    </row>
    <row r="9" spans="4:10" ht="24" customHeight="1">
      <c r="D9" s="499" t="s">
        <v>541</v>
      </c>
      <c r="E9" s="1040"/>
      <c r="F9" s="499" t="s">
        <v>1172</v>
      </c>
      <c r="G9" s="501"/>
      <c r="H9" s="1033" t="s">
        <v>126</v>
      </c>
      <c r="I9" s="503"/>
      <c r="J9" s="506"/>
    </row>
    <row r="10" spans="4:10" ht="24" customHeight="1">
      <c r="D10" s="507"/>
      <c r="E10" s="1043"/>
      <c r="F10" s="507" t="s">
        <v>1173</v>
      </c>
      <c r="G10" s="501"/>
      <c r="H10" s="509"/>
      <c r="I10" s="509"/>
      <c r="J10" s="510"/>
    </row>
    <row r="11" spans="1:10" ht="24" customHeight="1">
      <c r="A11" s="1031" t="s">
        <v>264</v>
      </c>
      <c r="D11" s="1016" t="s">
        <v>898</v>
      </c>
      <c r="E11" s="521"/>
      <c r="F11" s="1016" t="s">
        <v>747</v>
      </c>
      <c r="H11" s="1016" t="s">
        <v>898</v>
      </c>
      <c r="I11" s="497"/>
      <c r="J11" s="1016" t="s">
        <v>747</v>
      </c>
    </row>
    <row r="12" spans="2:10" ht="24" customHeight="1">
      <c r="B12" s="531" t="s">
        <v>1549</v>
      </c>
      <c r="C12" s="531"/>
      <c r="D12" s="1034">
        <v>219155460.57</v>
      </c>
      <c r="E12" s="776"/>
      <c r="F12" s="776">
        <v>172457582.5</v>
      </c>
      <c r="G12" s="776"/>
      <c r="H12" s="776">
        <v>212815614.91</v>
      </c>
      <c r="I12" s="776"/>
      <c r="J12" s="776">
        <v>172457582.5</v>
      </c>
    </row>
    <row r="13" spans="2:10" ht="24" customHeight="1">
      <c r="B13" s="531" t="s">
        <v>1550</v>
      </c>
      <c r="C13" s="531"/>
      <c r="D13" s="776">
        <v>82814641.59</v>
      </c>
      <c r="E13" s="776"/>
      <c r="F13" s="776">
        <v>0</v>
      </c>
      <c r="G13" s="776"/>
      <c r="H13" s="776">
        <v>82814641.59</v>
      </c>
      <c r="I13" s="776"/>
      <c r="J13" s="776">
        <v>0</v>
      </c>
    </row>
    <row r="14" spans="2:10" ht="24" customHeight="1">
      <c r="B14" s="531" t="s">
        <v>1551</v>
      </c>
      <c r="C14" s="531"/>
      <c r="D14" s="776">
        <f>188452883.22+195400.22-3675.92</f>
        <v>188644607.52</v>
      </c>
      <c r="E14" s="776"/>
      <c r="F14" s="776">
        <v>163090204.96</v>
      </c>
      <c r="G14" s="776"/>
      <c r="H14" s="776">
        <f>188344628.78+195400.22-3675.92</f>
        <v>188536353.08</v>
      </c>
      <c r="I14" s="776"/>
      <c r="J14" s="776">
        <v>163090204.96</v>
      </c>
    </row>
    <row r="15" spans="2:10" ht="24" customHeight="1">
      <c r="B15" s="531" t="s">
        <v>629</v>
      </c>
      <c r="C15" s="531"/>
      <c r="D15" s="776">
        <f>165425302.54-4212000</f>
        <v>161213302.54</v>
      </c>
      <c r="E15" s="776"/>
      <c r="F15" s="776">
        <v>56750796.96</v>
      </c>
      <c r="G15" s="776"/>
      <c r="H15" s="776">
        <f>165425302.54-4212000</f>
        <v>161213302.54</v>
      </c>
      <c r="I15" s="776"/>
      <c r="J15" s="776">
        <v>56750796.96</v>
      </c>
    </row>
    <row r="16" spans="2:10" ht="24" customHeight="1">
      <c r="B16" s="531"/>
      <c r="C16" s="531"/>
      <c r="D16" s="531"/>
      <c r="E16" s="531"/>
      <c r="F16" s="531"/>
      <c r="G16" s="531"/>
      <c r="H16" s="1035"/>
      <c r="I16" s="1036"/>
      <c r="J16" s="1035"/>
    </row>
    <row r="17" spans="2:11" ht="24" customHeight="1">
      <c r="B17" s="531"/>
      <c r="C17" s="531"/>
      <c r="D17" s="1061"/>
      <c r="E17" s="1062"/>
      <c r="F17" s="1063"/>
      <c r="G17" s="1049"/>
      <c r="H17" s="1032"/>
      <c r="I17" s="1054"/>
      <c r="J17" s="1032" t="s">
        <v>214</v>
      </c>
      <c r="K17" s="1037"/>
    </row>
    <row r="18" spans="4:7" ht="24" customHeight="1">
      <c r="D18" s="1039"/>
      <c r="E18" s="1040"/>
      <c r="F18" s="1039" t="s">
        <v>1171</v>
      </c>
      <c r="G18" s="1041"/>
    </row>
    <row r="19" spans="4:7" ht="24" customHeight="1">
      <c r="D19" s="1039" t="s">
        <v>541</v>
      </c>
      <c r="E19" s="1040"/>
      <c r="F19" s="1039" t="s">
        <v>1172</v>
      </c>
      <c r="G19" s="1041"/>
    </row>
    <row r="20" spans="4:10" ht="24" customHeight="1">
      <c r="D20" s="1059"/>
      <c r="E20" s="1043"/>
      <c r="F20" s="1059" t="s">
        <v>1173</v>
      </c>
      <c r="G20" s="1041"/>
      <c r="H20" s="1047" t="s">
        <v>600</v>
      </c>
      <c r="I20" s="1047"/>
      <c r="J20" s="1047"/>
    </row>
    <row r="21" spans="4:11" ht="24" customHeight="1">
      <c r="D21" s="976" t="s">
        <v>898</v>
      </c>
      <c r="E21" s="1042"/>
      <c r="F21" s="976" t="s">
        <v>747</v>
      </c>
      <c r="G21" s="1044"/>
      <c r="K21" s="1037"/>
    </row>
    <row r="22" spans="1:11" ht="24" customHeight="1">
      <c r="A22" s="1031" t="s">
        <v>1552</v>
      </c>
      <c r="B22" s="531"/>
      <c r="C22" s="531"/>
      <c r="D22" s="1046"/>
      <c r="E22" s="1046"/>
      <c r="F22" s="1046"/>
      <c r="G22" s="1046"/>
      <c r="H22" s="1048"/>
      <c r="I22" s="1048"/>
      <c r="J22" s="1048"/>
      <c r="K22" s="1037"/>
    </row>
    <row r="23" spans="1:11" ht="24" customHeight="1">
      <c r="A23" s="531"/>
      <c r="B23" s="531" t="s">
        <v>266</v>
      </c>
      <c r="C23" s="531"/>
      <c r="D23" s="776">
        <v>1567484954.52</v>
      </c>
      <c r="E23" s="776"/>
      <c r="F23" s="316">
        <v>1550963470.85</v>
      </c>
      <c r="G23" s="1049"/>
      <c r="H23" s="1048" t="s">
        <v>602</v>
      </c>
      <c r="I23" s="1048"/>
      <c r="J23" s="1048"/>
      <c r="K23" s="1037"/>
    </row>
    <row r="24" spans="1:11" ht="24" customHeight="1">
      <c r="A24" s="531"/>
      <c r="B24" s="531"/>
      <c r="C24" s="531"/>
      <c r="D24" s="776"/>
      <c r="E24" s="776"/>
      <c r="F24" s="776"/>
      <c r="G24" s="1046"/>
      <c r="H24" s="1048" t="s">
        <v>603</v>
      </c>
      <c r="I24" s="1048"/>
      <c r="J24" s="1048"/>
      <c r="K24" s="1037"/>
    </row>
    <row r="25" spans="1:11" ht="24" customHeight="1">
      <c r="A25" s="531"/>
      <c r="B25" s="531"/>
      <c r="C25" s="531"/>
      <c r="D25" s="776"/>
      <c r="E25" s="776"/>
      <c r="F25" s="776"/>
      <c r="G25" s="1046"/>
      <c r="H25" s="1048" t="s">
        <v>604</v>
      </c>
      <c r="I25" s="1048"/>
      <c r="J25" s="1048"/>
      <c r="K25" s="1037"/>
    </row>
    <row r="26" spans="1:11" ht="24" customHeight="1">
      <c r="A26" s="531"/>
      <c r="B26" s="531"/>
      <c r="C26" s="531"/>
      <c r="D26" s="776"/>
      <c r="E26" s="776"/>
      <c r="F26" s="776"/>
      <c r="G26" s="1046"/>
      <c r="H26" s="1048" t="s">
        <v>1553</v>
      </c>
      <c r="I26" s="1048"/>
      <c r="J26" s="1048"/>
      <c r="K26" s="1037"/>
    </row>
    <row r="27" spans="1:11" ht="24" customHeight="1">
      <c r="A27" s="531"/>
      <c r="B27" s="531" t="s">
        <v>269</v>
      </c>
      <c r="C27" s="531"/>
      <c r="D27" s="776">
        <f>128016375.72+24000</f>
        <v>128040375.72</v>
      </c>
      <c r="E27" s="776"/>
      <c r="F27" s="316">
        <v>120907089.79</v>
      </c>
      <c r="G27" s="1049"/>
      <c r="H27" s="1048" t="s">
        <v>607</v>
      </c>
      <c r="I27" s="1048"/>
      <c r="J27" s="1048"/>
      <c r="K27" s="1037"/>
    </row>
    <row r="28" spans="1:11" ht="24" customHeight="1">
      <c r="A28" s="531"/>
      <c r="B28" s="531"/>
      <c r="C28" s="531"/>
      <c r="D28" s="776"/>
      <c r="E28" s="776"/>
      <c r="F28" s="776"/>
      <c r="G28" s="1046"/>
      <c r="H28" s="1050" t="s">
        <v>608</v>
      </c>
      <c r="I28" s="1048"/>
      <c r="J28" s="1048"/>
      <c r="K28" s="1037"/>
    </row>
    <row r="29" spans="2:11" ht="24" customHeight="1">
      <c r="B29" s="531" t="s">
        <v>361</v>
      </c>
      <c r="C29" s="531"/>
      <c r="D29" s="776">
        <f>90247445.68+75156.94-20577.6+1364.51+1500</f>
        <v>90304889.53000002</v>
      </c>
      <c r="E29" s="776"/>
      <c r="F29" s="1055">
        <v>82035516.22</v>
      </c>
      <c r="G29" s="1049"/>
      <c r="H29" s="1048" t="s">
        <v>611</v>
      </c>
      <c r="I29" s="1048"/>
      <c r="J29" s="1048"/>
      <c r="K29" s="1046"/>
    </row>
    <row r="30" spans="1:11" ht="24" customHeight="1">
      <c r="A30" s="531"/>
      <c r="B30" s="531" t="s">
        <v>267</v>
      </c>
      <c r="C30" s="531"/>
      <c r="D30" s="776">
        <v>68253135.49</v>
      </c>
      <c r="E30" s="776"/>
      <c r="F30" s="316">
        <v>79101132.28</v>
      </c>
      <c r="G30" s="1049"/>
      <c r="H30" s="1048" t="s">
        <v>645</v>
      </c>
      <c r="I30" s="1048"/>
      <c r="J30" s="1048"/>
      <c r="K30" s="1037"/>
    </row>
    <row r="31" spans="2:11" ht="24" customHeight="1">
      <c r="B31" s="531" t="s">
        <v>105</v>
      </c>
      <c r="C31" s="531"/>
      <c r="D31" s="776">
        <f>55087277.56+14018.69</f>
        <v>55101296.25</v>
      </c>
      <c r="E31" s="776"/>
      <c r="F31" s="776">
        <v>51073045.2</v>
      </c>
      <c r="G31" s="1049"/>
      <c r="H31" s="1048" t="s">
        <v>636</v>
      </c>
      <c r="I31" s="1048"/>
      <c r="J31" s="1048"/>
      <c r="K31" s="1046"/>
    </row>
    <row r="32" spans="1:11" ht="24" customHeight="1">
      <c r="A32" s="531"/>
      <c r="B32" s="531" t="s">
        <v>270</v>
      </c>
      <c r="C32" s="531"/>
      <c r="D32" s="776">
        <f>61935445.2-7185+25200+13200</f>
        <v>61966660.2</v>
      </c>
      <c r="E32" s="776"/>
      <c r="F32" s="776">
        <v>64962840.53</v>
      </c>
      <c r="G32" s="1049"/>
      <c r="H32" s="1050" t="s">
        <v>1554</v>
      </c>
      <c r="I32" s="1048"/>
      <c r="J32" s="1048"/>
      <c r="K32" s="1037"/>
    </row>
    <row r="33" spans="1:11" ht="24" customHeight="1">
      <c r="A33" s="531"/>
      <c r="B33" s="531"/>
      <c r="C33" s="531"/>
      <c r="D33" s="776"/>
      <c r="E33" s="776"/>
      <c r="F33" s="776"/>
      <c r="G33" s="531"/>
      <c r="H33" s="1050" t="s">
        <v>1555</v>
      </c>
      <c r="I33" s="1048"/>
      <c r="J33" s="1048"/>
      <c r="K33" s="1037"/>
    </row>
    <row r="34" spans="1:10" ht="24" customHeight="1">
      <c r="A34" s="531"/>
      <c r="B34" s="531" t="s">
        <v>1556</v>
      </c>
      <c r="C34" s="531"/>
      <c r="D34" s="776">
        <v>33709879.94</v>
      </c>
      <c r="E34" s="776"/>
      <c r="F34" s="776">
        <v>0</v>
      </c>
      <c r="G34" s="531"/>
      <c r="H34" s="1050" t="s">
        <v>1557</v>
      </c>
      <c r="I34" s="1048"/>
      <c r="J34" s="1048"/>
    </row>
    <row r="35" spans="2:11" ht="24" customHeight="1">
      <c r="B35" s="531" t="s">
        <v>271</v>
      </c>
      <c r="C35" s="531"/>
      <c r="D35" s="776">
        <f>30571702.46-5036.2+2293+1650</f>
        <v>30570609.26</v>
      </c>
      <c r="E35" s="776"/>
      <c r="F35" s="316">
        <v>32680516.41</v>
      </c>
      <c r="G35" s="1049"/>
      <c r="H35" s="1051" t="s">
        <v>609</v>
      </c>
      <c r="I35" s="1048"/>
      <c r="J35" s="1048"/>
      <c r="K35" s="1037"/>
    </row>
    <row r="36" spans="2:11" ht="24" customHeight="1">
      <c r="B36" s="531"/>
      <c r="C36" s="531"/>
      <c r="D36" s="776"/>
      <c r="E36" s="776"/>
      <c r="F36" s="776"/>
      <c r="G36" s="531"/>
      <c r="H36" s="1051" t="s">
        <v>652</v>
      </c>
      <c r="I36" s="1048"/>
      <c r="J36" s="1048"/>
      <c r="K36" s="1046"/>
    </row>
    <row r="37" spans="1:11" ht="24" customHeight="1">
      <c r="A37" s="1064"/>
      <c r="B37" s="1064"/>
      <c r="C37" s="1064"/>
      <c r="D37" s="776"/>
      <c r="E37" s="776"/>
      <c r="F37" s="776"/>
      <c r="G37" s="531"/>
      <c r="H37" s="1051" t="s">
        <v>653</v>
      </c>
      <c r="I37" s="1048"/>
      <c r="J37" s="1048"/>
      <c r="K37" s="1046"/>
    </row>
    <row r="38" spans="2:10" ht="24" customHeight="1">
      <c r="B38" s="531" t="s">
        <v>1558</v>
      </c>
      <c r="C38" s="531"/>
      <c r="D38" s="776">
        <v>22260872.54</v>
      </c>
      <c r="E38" s="776"/>
      <c r="F38" s="776">
        <v>0</v>
      </c>
      <c r="G38" s="531"/>
      <c r="H38" s="1050" t="s">
        <v>1559</v>
      </c>
      <c r="I38" s="1048"/>
      <c r="J38" s="1048"/>
    </row>
    <row r="39" spans="2:11" ht="24" customHeight="1">
      <c r="B39" s="531" t="s">
        <v>373</v>
      </c>
      <c r="C39" s="531"/>
      <c r="D39" s="776">
        <v>28412650.47</v>
      </c>
      <c r="E39" s="776"/>
      <c r="F39" s="1055">
        <v>29943857.89</v>
      </c>
      <c r="G39" s="1049"/>
      <c r="H39" s="1048" t="s">
        <v>791</v>
      </c>
      <c r="I39" s="1048"/>
      <c r="J39" s="1048"/>
      <c r="K39" s="1046"/>
    </row>
    <row r="40" spans="2:11" ht="24" customHeight="1">
      <c r="B40" s="531"/>
      <c r="C40" s="531"/>
      <c r="E40" s="1062"/>
      <c r="F40" s="1062"/>
      <c r="G40" s="531"/>
      <c r="H40" s="1051" t="s">
        <v>610</v>
      </c>
      <c r="I40" s="1048"/>
      <c r="J40" s="1048"/>
      <c r="K40" s="1046"/>
    </row>
    <row r="41" spans="1:11" ht="24" customHeight="1">
      <c r="A41" s="531"/>
      <c r="B41" s="531" t="s">
        <v>268</v>
      </c>
      <c r="C41" s="531"/>
      <c r="D41" s="776">
        <f>19989483.1-5000+63784.83</f>
        <v>20048267.93</v>
      </c>
      <c r="E41" s="776"/>
      <c r="F41" s="316">
        <v>18306957.5</v>
      </c>
      <c r="G41" s="1049"/>
      <c r="H41" s="1050" t="s">
        <v>605</v>
      </c>
      <c r="I41" s="1048"/>
      <c r="J41" s="1048"/>
      <c r="K41" s="1037"/>
    </row>
    <row r="42" spans="1:11" ht="24" customHeight="1">
      <c r="A42" s="531"/>
      <c r="B42" s="531"/>
      <c r="C42" s="531"/>
      <c r="D42" s="776"/>
      <c r="E42" s="776"/>
      <c r="F42" s="316"/>
      <c r="G42" s="1049"/>
      <c r="H42" s="1050" t="s">
        <v>606</v>
      </c>
      <c r="I42" s="1048"/>
      <c r="J42" s="1048"/>
      <c r="K42" s="1037"/>
    </row>
    <row r="43" spans="1:11" ht="24" customHeight="1">
      <c r="A43" s="531"/>
      <c r="B43" s="531"/>
      <c r="C43" s="531"/>
      <c r="D43" s="776"/>
      <c r="E43" s="776"/>
      <c r="F43" s="316"/>
      <c r="G43" s="1049"/>
      <c r="H43" s="1050"/>
      <c r="I43" s="1048"/>
      <c r="J43" s="1048"/>
      <c r="K43" s="1037"/>
    </row>
    <row r="44" spans="1:10" s="1052" customFormat="1" ht="24" customHeight="1">
      <c r="A44" s="602" t="s">
        <v>1561</v>
      </c>
      <c r="B44" s="602"/>
      <c r="C44" s="602"/>
      <c r="D44" s="602"/>
      <c r="E44" s="602"/>
      <c r="F44" s="602"/>
      <c r="G44" s="602"/>
      <c r="H44" s="602"/>
      <c r="I44" s="602"/>
      <c r="J44" s="602"/>
    </row>
    <row r="45" spans="1:11" ht="24" customHeight="1">
      <c r="A45" s="531"/>
      <c r="B45" s="531"/>
      <c r="C45" s="531"/>
      <c r="D45" s="776"/>
      <c r="E45" s="776"/>
      <c r="F45" s="316"/>
      <c r="G45" s="1049"/>
      <c r="H45" s="1050"/>
      <c r="I45" s="1048"/>
      <c r="J45" s="1048"/>
      <c r="K45" s="1037"/>
    </row>
    <row r="46" spans="1:11" ht="24" customHeight="1">
      <c r="A46" s="531"/>
      <c r="B46" s="531"/>
      <c r="C46" s="531"/>
      <c r="D46" s="776"/>
      <c r="E46" s="776"/>
      <c r="F46" s="316"/>
      <c r="G46" s="1049"/>
      <c r="H46" s="1050"/>
      <c r="I46" s="1048"/>
      <c r="J46" s="1048"/>
      <c r="K46" s="1037"/>
    </row>
    <row r="47" spans="1:10" ht="24" customHeight="1">
      <c r="A47" s="1029" t="s">
        <v>527</v>
      </c>
      <c r="B47" s="1029"/>
      <c r="C47" s="1029"/>
      <c r="D47" s="1029"/>
      <c r="E47" s="1029"/>
      <c r="F47" s="1029"/>
      <c r="G47" s="1029"/>
      <c r="H47" s="1029"/>
      <c r="I47" s="1029"/>
      <c r="J47" s="1029"/>
    </row>
    <row r="48" spans="1:10" ht="24" customHeight="1">
      <c r="A48" s="1030"/>
      <c r="B48" s="1030"/>
      <c r="C48" s="1030"/>
      <c r="D48" s="1030"/>
      <c r="E48" s="1030"/>
      <c r="F48" s="1030"/>
      <c r="G48" s="1030"/>
      <c r="H48" s="1030"/>
      <c r="I48" s="1030"/>
      <c r="J48" s="1030"/>
    </row>
    <row r="49" ht="24" customHeight="1">
      <c r="A49" s="1031" t="s">
        <v>1769</v>
      </c>
    </row>
    <row r="50" spans="2:11" ht="24" customHeight="1">
      <c r="B50" s="531"/>
      <c r="C50" s="531"/>
      <c r="D50" s="1061"/>
      <c r="E50" s="1062"/>
      <c r="F50" s="1063"/>
      <c r="G50" s="1049"/>
      <c r="H50" s="1032"/>
      <c r="I50" s="1054"/>
      <c r="J50" s="1032" t="s">
        <v>214</v>
      </c>
      <c r="K50" s="1037"/>
    </row>
    <row r="51" spans="4:7" ht="24" customHeight="1">
      <c r="D51" s="1039"/>
      <c r="E51" s="1040"/>
      <c r="F51" s="1039" t="s">
        <v>1171</v>
      </c>
      <c r="G51" s="1041"/>
    </row>
    <row r="52" spans="4:7" ht="24" customHeight="1">
      <c r="D52" s="1039" t="s">
        <v>541</v>
      </c>
      <c r="E52" s="1040"/>
      <c r="F52" s="1039" t="s">
        <v>1172</v>
      </c>
      <c r="G52" s="1041"/>
    </row>
    <row r="53" spans="4:10" ht="24" customHeight="1">
      <c r="D53" s="1059"/>
      <c r="E53" s="1043"/>
      <c r="F53" s="1059" t="s">
        <v>1173</v>
      </c>
      <c r="G53" s="1041"/>
      <c r="H53" s="1047" t="s">
        <v>600</v>
      </c>
      <c r="I53" s="1047"/>
      <c r="J53" s="1047"/>
    </row>
    <row r="54" spans="4:11" ht="24" customHeight="1">
      <c r="D54" s="976" t="s">
        <v>898</v>
      </c>
      <c r="E54" s="1042"/>
      <c r="F54" s="976" t="s">
        <v>747</v>
      </c>
      <c r="G54" s="1044"/>
      <c r="K54" s="1037"/>
    </row>
    <row r="55" spans="1:11" ht="24" customHeight="1">
      <c r="A55" s="1031" t="s">
        <v>618</v>
      </c>
      <c r="B55" s="531"/>
      <c r="C55" s="531"/>
      <c r="D55" s="1046"/>
      <c r="E55" s="1046"/>
      <c r="F55" s="1046"/>
      <c r="G55" s="1046"/>
      <c r="H55" s="1048"/>
      <c r="I55" s="1048"/>
      <c r="J55" s="1048"/>
      <c r="K55" s="1037"/>
    </row>
    <row r="56" spans="1:10" ht="24" customHeight="1">
      <c r="A56" s="1031"/>
      <c r="B56" s="531" t="s">
        <v>1560</v>
      </c>
      <c r="C56" s="531"/>
      <c r="D56" s="776">
        <v>2595500</v>
      </c>
      <c r="E56" s="1046"/>
      <c r="F56" s="776">
        <v>0</v>
      </c>
      <c r="G56" s="1046"/>
      <c r="H56" s="1050" t="s">
        <v>1557</v>
      </c>
      <c r="I56" s="1048"/>
      <c r="J56" s="1048"/>
    </row>
    <row r="57" spans="1:11" ht="24" customHeight="1">
      <c r="A57" s="531"/>
      <c r="B57" s="531" t="s">
        <v>265</v>
      </c>
      <c r="C57" s="531"/>
      <c r="D57" s="776">
        <v>2252168.49</v>
      </c>
      <c r="E57" s="776"/>
      <c r="F57" s="316">
        <v>784148.48</v>
      </c>
      <c r="G57" s="1046"/>
      <c r="H57" s="1048" t="s">
        <v>601</v>
      </c>
      <c r="I57" s="1048"/>
      <c r="J57" s="1048"/>
      <c r="K57" s="1037"/>
    </row>
    <row r="58" spans="2:11" ht="24" customHeight="1">
      <c r="B58" s="531" t="s">
        <v>106</v>
      </c>
      <c r="C58" s="531"/>
      <c r="D58" s="776"/>
      <c r="E58" s="776"/>
      <c r="I58" s="1054"/>
      <c r="J58" s="1054"/>
      <c r="K58" s="1037"/>
    </row>
    <row r="59" spans="2:11" ht="24" customHeight="1">
      <c r="B59" s="531" t="s">
        <v>637</v>
      </c>
      <c r="C59" s="531"/>
      <c r="D59" s="776">
        <v>202623750</v>
      </c>
      <c r="E59" s="776"/>
      <c r="F59" s="1055">
        <v>73000000</v>
      </c>
      <c r="G59" s="1049"/>
      <c r="H59" s="1048" t="s">
        <v>612</v>
      </c>
      <c r="I59" s="1054"/>
      <c r="J59" s="1054"/>
      <c r="K59" s="1037"/>
    </row>
    <row r="60" spans="2:10" ht="13.5" customHeight="1">
      <c r="B60" s="531"/>
      <c r="C60" s="531"/>
      <c r="D60" s="1049"/>
      <c r="E60" s="1049"/>
      <c r="F60" s="1056"/>
      <c r="G60" s="531"/>
      <c r="H60" s="1051"/>
      <c r="I60" s="1048"/>
      <c r="J60" s="1048"/>
    </row>
    <row r="61" spans="2:11" ht="24" customHeight="1">
      <c r="B61" s="531"/>
      <c r="C61" s="531"/>
      <c r="D61" s="1061"/>
      <c r="E61" s="1062"/>
      <c r="F61" s="1063"/>
      <c r="G61" s="1049"/>
      <c r="H61" s="1032"/>
      <c r="I61" s="1054"/>
      <c r="J61" s="1032" t="s">
        <v>214</v>
      </c>
      <c r="K61" s="1037"/>
    </row>
    <row r="62" spans="4:11" ht="24" customHeight="1">
      <c r="D62" s="1058"/>
      <c r="E62" s="937" t="s">
        <v>126</v>
      </c>
      <c r="F62" s="1090"/>
      <c r="G62" s="1044"/>
      <c r="H62" s="1047" t="s">
        <v>600</v>
      </c>
      <c r="I62" s="1047"/>
      <c r="J62" s="1047"/>
      <c r="K62" s="1037"/>
    </row>
    <row r="63" spans="1:11" ht="24" customHeight="1">
      <c r="A63" s="531"/>
      <c r="B63" s="531"/>
      <c r="C63" s="531"/>
      <c r="D63" s="976" t="s">
        <v>898</v>
      </c>
      <c r="E63" s="1042"/>
      <c r="F63" s="976" t="s">
        <v>747</v>
      </c>
      <c r="G63" s="1046"/>
      <c r="H63" s="1051"/>
      <c r="I63" s="1048"/>
      <c r="J63" s="1048"/>
      <c r="K63" s="1037"/>
    </row>
    <row r="64" spans="1:11" ht="24" customHeight="1">
      <c r="A64" s="1031" t="s">
        <v>1552</v>
      </c>
      <c r="B64" s="531"/>
      <c r="C64" s="531"/>
      <c r="D64" s="776"/>
      <c r="E64" s="776"/>
      <c r="F64" s="776"/>
      <c r="G64" s="1046"/>
      <c r="H64" s="1051"/>
      <c r="I64" s="1048"/>
      <c r="J64" s="1048"/>
      <c r="K64" s="1037"/>
    </row>
    <row r="65" spans="1:11" ht="24" customHeight="1">
      <c r="A65" s="531"/>
      <c r="B65" s="531" t="s">
        <v>266</v>
      </c>
      <c r="C65" s="531"/>
      <c r="D65" s="776">
        <v>1567484954.52</v>
      </c>
      <c r="E65" s="776"/>
      <c r="F65" s="316">
        <v>1550963470.85</v>
      </c>
      <c r="G65" s="1049"/>
      <c r="H65" s="1048" t="s">
        <v>602</v>
      </c>
      <c r="I65" s="1048"/>
      <c r="J65" s="1048"/>
      <c r="K65" s="1037"/>
    </row>
    <row r="66" spans="1:11" ht="24" customHeight="1">
      <c r="A66" s="531"/>
      <c r="B66" s="531"/>
      <c r="C66" s="531"/>
      <c r="D66" s="776"/>
      <c r="E66" s="776"/>
      <c r="F66" s="776"/>
      <c r="G66" s="1046"/>
      <c r="H66" s="1048" t="s">
        <v>603</v>
      </c>
      <c r="I66" s="1048"/>
      <c r="J66" s="1048"/>
      <c r="K66" s="1037"/>
    </row>
    <row r="67" spans="1:11" ht="24" customHeight="1">
      <c r="A67" s="531"/>
      <c r="B67" s="531"/>
      <c r="C67" s="531"/>
      <c r="D67" s="776"/>
      <c r="E67" s="776"/>
      <c r="F67" s="776"/>
      <c r="G67" s="1046"/>
      <c r="H67" s="1048" t="s">
        <v>604</v>
      </c>
      <c r="I67" s="1048"/>
      <c r="J67" s="1048"/>
      <c r="K67" s="1037"/>
    </row>
    <row r="68" spans="1:11" ht="24" customHeight="1">
      <c r="A68" s="531"/>
      <c r="B68" s="531"/>
      <c r="C68" s="531"/>
      <c r="D68" s="776"/>
      <c r="E68" s="776"/>
      <c r="F68" s="776"/>
      <c r="G68" s="1046"/>
      <c r="H68" s="1048" t="s">
        <v>1553</v>
      </c>
      <c r="I68" s="1048"/>
      <c r="J68" s="1048"/>
      <c r="K68" s="1037"/>
    </row>
    <row r="69" spans="1:12" ht="23.25">
      <c r="A69" s="531"/>
      <c r="B69" s="531" t="s">
        <v>269</v>
      </c>
      <c r="C69" s="531"/>
      <c r="D69" s="776">
        <f>128016375.72+24000</f>
        <v>128040375.72</v>
      </c>
      <c r="E69" s="776"/>
      <c r="F69" s="316">
        <v>120907089.79</v>
      </c>
      <c r="G69" s="1049"/>
      <c r="H69" s="1048" t="s">
        <v>607</v>
      </c>
      <c r="I69" s="1048"/>
      <c r="J69" s="1048"/>
      <c r="K69" s="1037"/>
      <c r="L69" s="1153"/>
    </row>
    <row r="70" spans="1:11" ht="23.25">
      <c r="A70" s="531"/>
      <c r="B70" s="531"/>
      <c r="C70" s="531"/>
      <c r="D70" s="776"/>
      <c r="E70" s="776"/>
      <c r="F70" s="776"/>
      <c r="G70" s="1046"/>
      <c r="H70" s="1050" t="s">
        <v>608</v>
      </c>
      <c r="I70" s="1048"/>
      <c r="J70" s="1048"/>
      <c r="K70" s="1037"/>
    </row>
    <row r="71" spans="2:12" ht="24" customHeight="1">
      <c r="B71" s="531" t="s">
        <v>361</v>
      </c>
      <c r="C71" s="531"/>
      <c r="D71" s="776">
        <f>90247445.68+75156.94-20577.6+1364.51+1500</f>
        <v>90304889.53000002</v>
      </c>
      <c r="E71" s="776"/>
      <c r="F71" s="1055">
        <v>82035516.22</v>
      </c>
      <c r="G71" s="1049"/>
      <c r="H71" s="1048" t="s">
        <v>611</v>
      </c>
      <c r="I71" s="1048"/>
      <c r="J71" s="1048"/>
      <c r="K71" s="1046"/>
      <c r="L71" s="1153"/>
    </row>
    <row r="72" spans="1:12" ht="24" customHeight="1">
      <c r="A72" s="531"/>
      <c r="B72" s="531" t="s">
        <v>267</v>
      </c>
      <c r="C72" s="531"/>
      <c r="D72" s="776">
        <v>68253135.49</v>
      </c>
      <c r="E72" s="776"/>
      <c r="F72" s="316">
        <v>79101132.28</v>
      </c>
      <c r="G72" s="1049"/>
      <c r="H72" s="1048" t="s">
        <v>645</v>
      </c>
      <c r="I72" s="1048"/>
      <c r="J72" s="1048"/>
      <c r="K72" s="1037"/>
      <c r="L72" s="1153"/>
    </row>
    <row r="73" spans="2:12" ht="24" customHeight="1">
      <c r="B73" s="531" t="s">
        <v>105</v>
      </c>
      <c r="C73" s="531"/>
      <c r="D73" s="776">
        <f>55087277.56+14018.69</f>
        <v>55101296.25</v>
      </c>
      <c r="E73" s="776"/>
      <c r="F73" s="776">
        <v>51073045.2</v>
      </c>
      <c r="G73" s="1049"/>
      <c r="H73" s="1048" t="s">
        <v>636</v>
      </c>
      <c r="I73" s="1048"/>
      <c r="J73" s="1048"/>
      <c r="K73" s="1046"/>
      <c r="L73" s="1153"/>
    </row>
    <row r="74" spans="1:12" ht="24" customHeight="1">
      <c r="A74" s="531"/>
      <c r="B74" s="531" t="s">
        <v>270</v>
      </c>
      <c r="C74" s="531"/>
      <c r="D74" s="776">
        <f>61935445.2+25200+13200-7185</f>
        <v>61966660.2</v>
      </c>
      <c r="E74" s="776"/>
      <c r="F74" s="776">
        <v>64962840.53</v>
      </c>
      <c r="G74" s="1049"/>
      <c r="H74" s="1050" t="s">
        <v>1554</v>
      </c>
      <c r="I74" s="1048"/>
      <c r="J74" s="1048"/>
      <c r="K74" s="1037"/>
      <c r="L74" s="1153"/>
    </row>
    <row r="75" spans="1:11" ht="24" customHeight="1">
      <c r="A75" s="531"/>
      <c r="B75" s="531"/>
      <c r="C75" s="531"/>
      <c r="D75" s="776"/>
      <c r="E75" s="776"/>
      <c r="F75" s="776"/>
      <c r="G75" s="531"/>
      <c r="H75" s="1050" t="s">
        <v>1555</v>
      </c>
      <c r="I75" s="1048"/>
      <c r="J75" s="1048"/>
      <c r="K75" s="1037"/>
    </row>
    <row r="76" spans="2:12" ht="24" customHeight="1">
      <c r="B76" s="531" t="s">
        <v>271</v>
      </c>
      <c r="C76" s="531"/>
      <c r="D76" s="776">
        <f>30571702.46-5036.2+2293+1650</f>
        <v>30570609.26</v>
      </c>
      <c r="E76" s="776"/>
      <c r="F76" s="316">
        <v>32680516.41</v>
      </c>
      <c r="G76" s="1049"/>
      <c r="H76" s="1051" t="s">
        <v>609</v>
      </c>
      <c r="I76" s="1048"/>
      <c r="J76" s="1048"/>
      <c r="K76" s="1046"/>
      <c r="L76" s="1153"/>
    </row>
    <row r="77" spans="2:12" ht="24" customHeight="1">
      <c r="B77" s="531"/>
      <c r="C77" s="531"/>
      <c r="D77" s="776"/>
      <c r="E77" s="776"/>
      <c r="F77" s="776"/>
      <c r="G77" s="531"/>
      <c r="H77" s="1051" t="s">
        <v>652</v>
      </c>
      <c r="I77" s="1048"/>
      <c r="J77" s="1048"/>
      <c r="K77" s="1046"/>
      <c r="L77" s="1153"/>
    </row>
    <row r="78" spans="1:10" ht="24" customHeight="1">
      <c r="A78" s="1064"/>
      <c r="B78" s="1064"/>
      <c r="C78" s="1064"/>
      <c r="D78" s="776"/>
      <c r="E78" s="776"/>
      <c r="F78" s="776"/>
      <c r="G78" s="531"/>
      <c r="H78" s="1051" t="s">
        <v>653</v>
      </c>
      <c r="I78" s="1048"/>
      <c r="J78" s="1048"/>
    </row>
    <row r="79" spans="2:11" ht="24" customHeight="1">
      <c r="B79" s="531" t="s">
        <v>1558</v>
      </c>
      <c r="C79" s="531"/>
      <c r="D79" s="776">
        <v>22260872.54</v>
      </c>
      <c r="E79" s="776"/>
      <c r="F79" s="776">
        <v>0</v>
      </c>
      <c r="G79" s="531"/>
      <c r="H79" s="1050" t="s">
        <v>1559</v>
      </c>
      <c r="I79" s="1048"/>
      <c r="J79" s="1048"/>
      <c r="K79" s="1046"/>
    </row>
    <row r="80" spans="2:11" ht="24" customHeight="1">
      <c r="B80" s="531" t="s">
        <v>373</v>
      </c>
      <c r="C80" s="531"/>
      <c r="D80" s="776">
        <v>28412650.47</v>
      </c>
      <c r="E80" s="776"/>
      <c r="F80" s="1055">
        <v>29943857.89</v>
      </c>
      <c r="G80" s="1049"/>
      <c r="H80" s="1048" t="s">
        <v>791</v>
      </c>
      <c r="I80" s="1048"/>
      <c r="J80" s="1048"/>
      <c r="K80" s="1046"/>
    </row>
    <row r="81" spans="2:11" ht="24" customHeight="1">
      <c r="B81" s="531"/>
      <c r="C81" s="531"/>
      <c r="E81" s="1062"/>
      <c r="F81" s="1062"/>
      <c r="G81" s="531"/>
      <c r="H81" s="1051" t="s">
        <v>610</v>
      </c>
      <c r="I81" s="1048"/>
      <c r="J81" s="1048"/>
      <c r="K81" s="1037"/>
    </row>
    <row r="82" spans="1:12" ht="24" customHeight="1">
      <c r="A82" s="531"/>
      <c r="B82" s="531" t="s">
        <v>268</v>
      </c>
      <c r="C82" s="531"/>
      <c r="D82" s="776">
        <f>19989483.1-5000+63784.83</f>
        <v>20048267.93</v>
      </c>
      <c r="E82" s="776"/>
      <c r="F82" s="316">
        <v>18306957.5</v>
      </c>
      <c r="G82" s="1049"/>
      <c r="H82" s="1050" t="s">
        <v>605</v>
      </c>
      <c r="I82" s="1048"/>
      <c r="J82" s="1048"/>
      <c r="K82" s="1037"/>
      <c r="L82" s="1153"/>
    </row>
    <row r="83" spans="1:11" ht="24" customHeight="1">
      <c r="A83" s="531"/>
      <c r="B83" s="531"/>
      <c r="C83" s="531"/>
      <c r="E83" s="1046"/>
      <c r="F83" s="776"/>
      <c r="G83" s="1046"/>
      <c r="H83" s="1050" t="s">
        <v>606</v>
      </c>
      <c r="I83" s="1048"/>
      <c r="J83" s="1048"/>
      <c r="K83" s="1037"/>
    </row>
    <row r="84" spans="1:11" ht="24" customHeight="1">
      <c r="A84" s="531"/>
      <c r="B84" s="531" t="s">
        <v>265</v>
      </c>
      <c r="C84" s="531"/>
      <c r="D84" s="776">
        <v>2252168.49</v>
      </c>
      <c r="E84" s="776"/>
      <c r="F84" s="316">
        <v>784148.48</v>
      </c>
      <c r="G84" s="1046"/>
      <c r="H84" s="1048" t="s">
        <v>601</v>
      </c>
      <c r="I84" s="1048"/>
      <c r="J84" s="1048"/>
      <c r="K84" s="1037"/>
    </row>
    <row r="85" spans="2:11" ht="24" customHeight="1">
      <c r="B85" s="531" t="s">
        <v>106</v>
      </c>
      <c r="C85" s="531"/>
      <c r="D85" s="776"/>
      <c r="E85" s="776"/>
      <c r="G85" s="531"/>
      <c r="H85" s="531"/>
      <c r="I85" s="1054"/>
      <c r="J85" s="1054"/>
      <c r="K85" s="1037"/>
    </row>
    <row r="86" spans="2:11" ht="24" customHeight="1">
      <c r="B86" s="531" t="s">
        <v>637</v>
      </c>
      <c r="C86" s="531"/>
      <c r="D86" s="776">
        <v>202623750</v>
      </c>
      <c r="E86" s="776"/>
      <c r="F86" s="1055">
        <v>73000000</v>
      </c>
      <c r="G86" s="1049"/>
      <c r="H86" s="1048" t="s">
        <v>612</v>
      </c>
      <c r="I86" s="1054"/>
      <c r="J86" s="1054"/>
      <c r="K86" s="1037"/>
    </row>
    <row r="87" spans="2:11" ht="23.25">
      <c r="B87" s="531"/>
      <c r="C87" s="531"/>
      <c r="D87" s="776"/>
      <c r="E87" s="776"/>
      <c r="F87" s="1055"/>
      <c r="G87" s="1049"/>
      <c r="H87" s="1048"/>
      <c r="I87" s="1048"/>
      <c r="J87" s="1048"/>
      <c r="K87" s="1046"/>
    </row>
    <row r="88" spans="2:11" ht="23.25">
      <c r="B88" s="531"/>
      <c r="C88" s="531"/>
      <c r="D88" s="776"/>
      <c r="E88" s="776"/>
      <c r="F88" s="1055"/>
      <c r="G88" s="1049"/>
      <c r="H88" s="1048"/>
      <c r="I88" s="1048"/>
      <c r="J88" s="1048"/>
      <c r="K88" s="1046"/>
    </row>
    <row r="89" spans="2:11" ht="23.25">
      <c r="B89" s="531"/>
      <c r="C89" s="531"/>
      <c r="D89" s="776"/>
      <c r="E89" s="776"/>
      <c r="F89" s="1055"/>
      <c r="G89" s="1049"/>
      <c r="H89" s="1048"/>
      <c r="I89" s="1048"/>
      <c r="J89" s="1048"/>
      <c r="K89" s="1046"/>
    </row>
    <row r="90" spans="1:10" s="1052" customFormat="1" ht="24" customHeight="1">
      <c r="A90" s="602" t="s">
        <v>1561</v>
      </c>
      <c r="B90" s="602"/>
      <c r="C90" s="602"/>
      <c r="D90" s="602"/>
      <c r="E90" s="602"/>
      <c r="F90" s="602"/>
      <c r="G90" s="602"/>
      <c r="H90" s="602"/>
      <c r="I90" s="602"/>
      <c r="J90" s="602"/>
    </row>
    <row r="91" spans="2:11" ht="23.25">
      <c r="B91" s="531"/>
      <c r="C91" s="531"/>
      <c r="D91" s="776"/>
      <c r="E91" s="776"/>
      <c r="F91" s="1055"/>
      <c r="G91" s="1049"/>
      <c r="H91" s="1048"/>
      <c r="I91" s="1048"/>
      <c r="J91" s="1048"/>
      <c r="K91" s="1046"/>
    </row>
    <row r="92" spans="2:11" ht="23.25">
      <c r="B92" s="531"/>
      <c r="C92" s="531"/>
      <c r="D92" s="776"/>
      <c r="E92" s="776"/>
      <c r="F92" s="1055"/>
      <c r="G92" s="1049"/>
      <c r="H92" s="1048"/>
      <c r="I92" s="1048"/>
      <c r="J92" s="1048"/>
      <c r="K92" s="1046"/>
    </row>
    <row r="93" spans="2:11" ht="23.25">
      <c r="B93" s="531"/>
      <c r="C93" s="531"/>
      <c r="D93" s="776"/>
      <c r="E93" s="776"/>
      <c r="F93" s="1055"/>
      <c r="G93" s="1049"/>
      <c r="H93" s="1048"/>
      <c r="I93" s="1048"/>
      <c r="J93" s="1048"/>
      <c r="K93" s="1046"/>
    </row>
    <row r="94" spans="1:10" ht="24" customHeight="1">
      <c r="A94" s="1029" t="s">
        <v>528</v>
      </c>
      <c r="B94" s="1029"/>
      <c r="C94" s="1029"/>
      <c r="D94" s="1029"/>
      <c r="E94" s="1029"/>
      <c r="F94" s="1029"/>
      <c r="G94" s="1029"/>
      <c r="H94" s="1029"/>
      <c r="I94" s="1029"/>
      <c r="J94" s="1029"/>
    </row>
    <row r="95" spans="1:10" ht="24" customHeight="1">
      <c r="A95" s="1030"/>
      <c r="B95" s="1030"/>
      <c r="C95" s="1030"/>
      <c r="D95" s="1030"/>
      <c r="E95" s="1030"/>
      <c r="F95" s="1030"/>
      <c r="G95" s="1030"/>
      <c r="H95" s="1030"/>
      <c r="I95" s="1030"/>
      <c r="J95" s="1030"/>
    </row>
    <row r="96" ht="24" customHeight="1">
      <c r="A96" s="1031" t="s">
        <v>1769</v>
      </c>
    </row>
    <row r="97" spans="4:11" s="1052" customFormat="1" ht="24" customHeight="1">
      <c r="D97" s="8"/>
      <c r="E97" s="8"/>
      <c r="F97" s="8"/>
      <c r="G97" s="8"/>
      <c r="H97" s="8"/>
      <c r="I97" s="8"/>
      <c r="J97" s="6" t="s">
        <v>214</v>
      </c>
      <c r="K97" s="1065"/>
    </row>
    <row r="98" spans="4:11" s="1052" customFormat="1" ht="24" customHeight="1">
      <c r="D98" s="8"/>
      <c r="E98" s="8"/>
      <c r="F98" s="1039" t="s">
        <v>1171</v>
      </c>
      <c r="G98" s="8"/>
      <c r="H98" s="8"/>
      <c r="I98" s="8"/>
      <c r="J98" s="6"/>
      <c r="K98" s="1065"/>
    </row>
    <row r="99" spans="4:11" s="1052" customFormat="1" ht="24" customHeight="1">
      <c r="D99" s="1039" t="s">
        <v>541</v>
      </c>
      <c r="E99" s="8"/>
      <c r="F99" s="1039" t="s">
        <v>1172</v>
      </c>
      <c r="G99" s="8"/>
      <c r="H99" s="1091" t="s">
        <v>126</v>
      </c>
      <c r="I99" s="1091"/>
      <c r="J99" s="1091"/>
      <c r="K99" s="1065"/>
    </row>
    <row r="100" spans="4:11" s="1052" customFormat="1" ht="24" customHeight="1">
      <c r="D100" s="333"/>
      <c r="E100" s="1091"/>
      <c r="F100" s="333" t="s">
        <v>1173</v>
      </c>
      <c r="G100" s="8"/>
      <c r="H100" s="333"/>
      <c r="I100" s="333"/>
      <c r="J100" s="333"/>
      <c r="K100" s="1065"/>
    </row>
    <row r="101" spans="4:11" s="1052" customFormat="1" ht="24" customHeight="1">
      <c r="D101" s="77" t="s">
        <v>898</v>
      </c>
      <c r="E101" s="7"/>
      <c r="F101" s="77" t="s">
        <v>747</v>
      </c>
      <c r="G101" s="9"/>
      <c r="H101" s="77" t="s">
        <v>898</v>
      </c>
      <c r="I101" s="7"/>
      <c r="J101" s="77" t="s">
        <v>747</v>
      </c>
      <c r="K101" s="1065"/>
    </row>
    <row r="102" spans="2:11" s="1052" customFormat="1" ht="24" customHeight="1">
      <c r="B102" s="1069" t="s">
        <v>272</v>
      </c>
      <c r="D102" s="81">
        <v>263383711.25</v>
      </c>
      <c r="E102" s="31"/>
      <c r="F102" s="81">
        <v>355877635.42</v>
      </c>
      <c r="G102" s="10"/>
      <c r="H102" s="81">
        <v>1045939003.15</v>
      </c>
      <c r="I102" s="372"/>
      <c r="J102" s="81">
        <v>865193235.72</v>
      </c>
      <c r="K102" s="1065"/>
    </row>
    <row r="103" spans="2:10" s="1052" customFormat="1" ht="19.5" customHeight="1">
      <c r="B103" s="1069"/>
      <c r="C103" s="1069"/>
      <c r="D103" s="1069"/>
      <c r="E103" s="1069"/>
      <c r="F103" s="1069"/>
      <c r="G103" s="1069"/>
      <c r="H103" s="1071"/>
      <c r="I103" s="1066"/>
      <c r="J103" s="1071"/>
    </row>
    <row r="104" ht="24" customHeight="1">
      <c r="B104" s="596" t="s">
        <v>1562</v>
      </c>
    </row>
    <row r="105" ht="24" customHeight="1">
      <c r="A105" s="596" t="s">
        <v>1563</v>
      </c>
    </row>
    <row r="106" spans="2:11" ht="23.25">
      <c r="B106" s="531"/>
      <c r="C106" s="531"/>
      <c r="D106" s="776"/>
      <c r="E106" s="776"/>
      <c r="F106" s="776"/>
      <c r="G106" s="1049"/>
      <c r="H106" s="1048"/>
      <c r="I106" s="1048"/>
      <c r="J106" s="1048"/>
      <c r="K106" s="1046"/>
    </row>
    <row r="107" spans="1:10" ht="24" customHeight="1">
      <c r="A107" s="1053"/>
      <c r="B107" s="1053"/>
      <c r="C107" s="1053"/>
      <c r="D107" s="1053"/>
      <c r="E107" s="1053"/>
      <c r="F107" s="1053"/>
      <c r="G107" s="1053"/>
      <c r="H107" s="1053"/>
      <c r="I107" s="1053"/>
      <c r="J107" s="1068" t="s">
        <v>214</v>
      </c>
    </row>
    <row r="108" spans="4:7" ht="24" customHeight="1">
      <c r="D108" s="8"/>
      <c r="E108" s="8"/>
      <c r="F108" s="1039" t="s">
        <v>1171</v>
      </c>
      <c r="G108" s="1041"/>
    </row>
    <row r="109" spans="4:10" ht="24" customHeight="1">
      <c r="D109" s="1039" t="s">
        <v>541</v>
      </c>
      <c r="E109" s="8"/>
      <c r="F109" s="1039" t="s">
        <v>1172</v>
      </c>
      <c r="G109" s="1041"/>
      <c r="H109" s="1092" t="s">
        <v>600</v>
      </c>
      <c r="I109" s="1092"/>
      <c r="J109" s="1092"/>
    </row>
    <row r="110" spans="4:10" ht="24" customHeight="1">
      <c r="D110" s="333"/>
      <c r="E110" s="1091"/>
      <c r="F110" s="333" t="s">
        <v>1173</v>
      </c>
      <c r="G110" s="1041"/>
      <c r="H110" s="1058"/>
      <c r="I110" s="1058"/>
      <c r="J110" s="1058"/>
    </row>
    <row r="111" spans="4:11" ht="24" customHeight="1">
      <c r="D111" s="77" t="s">
        <v>898</v>
      </c>
      <c r="E111" s="7"/>
      <c r="F111" s="77" t="s">
        <v>747</v>
      </c>
      <c r="G111" s="1044"/>
      <c r="H111" s="1038"/>
      <c r="I111" s="1038"/>
      <c r="J111" s="1038"/>
      <c r="K111" s="1037"/>
    </row>
    <row r="112" spans="1:10" ht="24" customHeight="1">
      <c r="A112" s="1031" t="s">
        <v>273</v>
      </c>
      <c r="D112" s="1038"/>
      <c r="F112" s="1038"/>
      <c r="H112" s="1072"/>
      <c r="I112" s="1072"/>
      <c r="J112" s="1072"/>
    </row>
    <row r="113" spans="2:10" ht="24" customHeight="1">
      <c r="B113" s="531" t="s">
        <v>107</v>
      </c>
      <c r="C113" s="531"/>
      <c r="D113" s="1035">
        <f>1735745908.48-10141845.43-1530746.37</f>
        <v>1724073316.68</v>
      </c>
      <c r="E113" s="1073"/>
      <c r="F113" s="316">
        <v>1711928859.33</v>
      </c>
      <c r="G113" s="531"/>
      <c r="H113" s="1048" t="s">
        <v>613</v>
      </c>
      <c r="I113" s="1048"/>
      <c r="J113" s="1048"/>
    </row>
    <row r="114" spans="2:10" ht="24" customHeight="1">
      <c r="B114" s="531"/>
      <c r="C114" s="531"/>
      <c r="D114" s="1049"/>
      <c r="E114" s="1049"/>
      <c r="F114" s="1049"/>
      <c r="G114" s="531"/>
      <c r="H114" s="1048" t="s">
        <v>614</v>
      </c>
      <c r="I114" s="1048"/>
      <c r="J114" s="1048"/>
    </row>
    <row r="115" spans="2:10" ht="24" customHeight="1">
      <c r="B115" s="531" t="s">
        <v>355</v>
      </c>
      <c r="C115" s="531"/>
      <c r="D115" s="1035">
        <v>191174250.07</v>
      </c>
      <c r="E115" s="1073"/>
      <c r="F115" s="316">
        <v>81170611.97</v>
      </c>
      <c r="G115" s="531"/>
      <c r="H115" s="1048" t="s">
        <v>792</v>
      </c>
      <c r="I115" s="1048"/>
      <c r="J115" s="1048"/>
    </row>
    <row r="116" spans="2:10" ht="24" customHeight="1">
      <c r="B116" s="531"/>
      <c r="C116" s="531"/>
      <c r="D116" s="1049"/>
      <c r="E116" s="1049"/>
      <c r="F116" s="1049"/>
      <c r="G116" s="531"/>
      <c r="H116" s="1048" t="s">
        <v>793</v>
      </c>
      <c r="I116" s="1048"/>
      <c r="J116" s="1048"/>
    </row>
    <row r="117" spans="2:10" ht="24" customHeight="1">
      <c r="B117" s="531" t="s">
        <v>211</v>
      </c>
      <c r="C117" s="531"/>
      <c r="D117" s="1035">
        <f>86812896.01+117000-231300+1886836.58+1530746.37-231300</f>
        <v>89884878.96000001</v>
      </c>
      <c r="E117" s="1073"/>
      <c r="F117" s="1035">
        <v>74474441.78</v>
      </c>
      <c r="G117" s="531"/>
      <c r="H117" s="1048" t="s">
        <v>794</v>
      </c>
      <c r="I117" s="1048"/>
      <c r="J117" s="1048"/>
    </row>
    <row r="118" spans="2:10" ht="24" customHeight="1">
      <c r="B118" s="531"/>
      <c r="C118" s="531"/>
      <c r="D118" s="1035"/>
      <c r="E118" s="1073"/>
      <c r="F118" s="1035"/>
      <c r="G118" s="531"/>
      <c r="H118" s="1048" t="s">
        <v>795</v>
      </c>
      <c r="I118" s="1048"/>
      <c r="J118" s="1048"/>
    </row>
    <row r="119" spans="2:10" ht="24" customHeight="1">
      <c r="B119" s="531" t="s">
        <v>208</v>
      </c>
      <c r="C119" s="531"/>
      <c r="D119" s="1035">
        <v>65206320.25</v>
      </c>
      <c r="E119" s="1073"/>
      <c r="F119" s="316">
        <v>67181818.86</v>
      </c>
      <c r="G119" s="531"/>
      <c r="H119" s="1048" t="s">
        <v>794</v>
      </c>
      <c r="I119" s="1048"/>
      <c r="J119" s="1048"/>
    </row>
    <row r="120" spans="2:10" ht="24" customHeight="1">
      <c r="B120" s="531"/>
      <c r="C120" s="531"/>
      <c r="D120" s="1035"/>
      <c r="E120" s="1073"/>
      <c r="F120" s="316"/>
      <c r="G120" s="531"/>
      <c r="H120" s="1048" t="s">
        <v>795</v>
      </c>
      <c r="I120" s="1048"/>
      <c r="J120" s="1048"/>
    </row>
    <row r="121" spans="2:10" ht="24" customHeight="1">
      <c r="B121" s="531" t="s">
        <v>209</v>
      </c>
      <c r="C121" s="531"/>
      <c r="D121" s="1035">
        <v>31763479.42</v>
      </c>
      <c r="E121" s="1073"/>
      <c r="F121" s="316">
        <v>28318761.06</v>
      </c>
      <c r="G121" s="531"/>
      <c r="H121" s="1048" t="s">
        <v>794</v>
      </c>
      <c r="I121" s="1048"/>
      <c r="J121" s="1048"/>
    </row>
    <row r="122" spans="2:10" ht="24" customHeight="1">
      <c r="B122" s="531"/>
      <c r="C122" s="531"/>
      <c r="D122" s="1049"/>
      <c r="E122" s="1049"/>
      <c r="F122" s="1049"/>
      <c r="G122" s="531"/>
      <c r="H122" s="1048" t="s">
        <v>795</v>
      </c>
      <c r="I122" s="1048"/>
      <c r="J122" s="1048"/>
    </row>
    <row r="123" spans="2:10" ht="24" customHeight="1">
      <c r="B123" s="531" t="s">
        <v>274</v>
      </c>
      <c r="C123" s="531"/>
      <c r="D123" s="1035">
        <v>27056811.03</v>
      </c>
      <c r="E123" s="1073"/>
      <c r="F123" s="316">
        <v>27002958.9</v>
      </c>
      <c r="G123" s="531"/>
      <c r="H123" s="1048" t="s">
        <v>796</v>
      </c>
      <c r="I123" s="1048"/>
      <c r="J123" s="1048"/>
    </row>
    <row r="124" spans="2:10" ht="24" customHeight="1">
      <c r="B124" s="531"/>
      <c r="C124" s="531"/>
      <c r="D124" s="1049"/>
      <c r="E124" s="1049"/>
      <c r="F124" s="1049"/>
      <c r="G124" s="531"/>
      <c r="H124" s="1048" t="s">
        <v>797</v>
      </c>
      <c r="I124" s="1048"/>
      <c r="J124" s="1048"/>
    </row>
    <row r="125" spans="1:10" ht="24" customHeight="1">
      <c r="A125" s="1031"/>
      <c r="B125" s="531" t="s">
        <v>1564</v>
      </c>
      <c r="C125" s="531"/>
      <c r="D125" s="776">
        <v>11891670.58</v>
      </c>
      <c r="E125" s="776"/>
      <c r="F125" s="776">
        <v>0</v>
      </c>
      <c r="G125" s="531"/>
      <c r="H125" s="1048" t="s">
        <v>1565</v>
      </c>
      <c r="I125" s="1048"/>
      <c r="J125" s="1048"/>
    </row>
    <row r="126" spans="1:10" ht="24" customHeight="1">
      <c r="A126" s="1031"/>
      <c r="B126" s="531"/>
      <c r="C126" s="531"/>
      <c r="D126" s="776"/>
      <c r="E126" s="776"/>
      <c r="F126" s="776"/>
      <c r="G126" s="531"/>
      <c r="H126" s="1048" t="s">
        <v>1566</v>
      </c>
      <c r="I126" s="1048"/>
      <c r="J126" s="1048"/>
    </row>
    <row r="127" spans="2:10" ht="24" customHeight="1">
      <c r="B127" s="531" t="s">
        <v>275</v>
      </c>
      <c r="C127" s="531"/>
      <c r="D127" s="1035">
        <v>26913590.28</v>
      </c>
      <c r="E127" s="1073"/>
      <c r="F127" s="316">
        <v>22891227.4</v>
      </c>
      <c r="G127" s="531"/>
      <c r="H127" s="1048" t="s">
        <v>616</v>
      </c>
      <c r="I127" s="1048"/>
      <c r="J127" s="1048"/>
    </row>
    <row r="128" spans="2:10" ht="24" customHeight="1">
      <c r="B128" s="531"/>
      <c r="C128" s="531"/>
      <c r="D128" s="1049"/>
      <c r="E128" s="1049"/>
      <c r="F128" s="1049"/>
      <c r="G128" s="531"/>
      <c r="H128" s="1048" t="s">
        <v>617</v>
      </c>
      <c r="I128" s="1048"/>
      <c r="J128" s="1048"/>
    </row>
    <row r="129" spans="2:10" ht="24" customHeight="1">
      <c r="B129" s="531" t="s">
        <v>210</v>
      </c>
      <c r="C129" s="531"/>
      <c r="D129" s="1035">
        <v>8047596.5</v>
      </c>
      <c r="E129" s="1073"/>
      <c r="F129" s="316">
        <v>7153473</v>
      </c>
      <c r="G129" s="531"/>
      <c r="H129" s="1048" t="s">
        <v>794</v>
      </c>
      <c r="I129" s="1048"/>
      <c r="J129" s="1048"/>
    </row>
    <row r="130" spans="2:10" ht="24" customHeight="1">
      <c r="B130" s="531"/>
      <c r="C130" s="531"/>
      <c r="D130" s="776"/>
      <c r="E130" s="776"/>
      <c r="F130" s="776"/>
      <c r="G130" s="531"/>
      <c r="H130" s="1048" t="s">
        <v>795</v>
      </c>
      <c r="I130" s="1048"/>
      <c r="J130" s="1048"/>
    </row>
    <row r="131" spans="2:10" ht="24" customHeight="1">
      <c r="B131" s="531" t="s">
        <v>110</v>
      </c>
      <c r="C131" s="531"/>
      <c r="D131" s="1035">
        <v>3831839.66</v>
      </c>
      <c r="E131" s="1073"/>
      <c r="F131" s="316">
        <v>3278324.63</v>
      </c>
      <c r="G131" s="531"/>
      <c r="H131" s="1048" t="s">
        <v>798</v>
      </c>
      <c r="I131" s="1048"/>
      <c r="J131" s="1048"/>
    </row>
    <row r="132" spans="2:10" ht="24" customHeight="1">
      <c r="B132" s="531"/>
      <c r="C132" s="531"/>
      <c r="D132" s="1074"/>
      <c r="E132" s="1049"/>
      <c r="F132" s="1074"/>
      <c r="G132" s="531"/>
      <c r="H132" s="1048" t="s">
        <v>799</v>
      </c>
      <c r="I132" s="1048"/>
      <c r="J132" s="1048"/>
    </row>
    <row r="133" spans="2:10" ht="24" customHeight="1">
      <c r="B133" s="531" t="s">
        <v>108</v>
      </c>
      <c r="C133" s="531"/>
      <c r="D133" s="1035">
        <v>6455136.31</v>
      </c>
      <c r="E133" s="1073"/>
      <c r="F133" s="316">
        <v>10870538.37</v>
      </c>
      <c r="G133" s="531"/>
      <c r="H133" s="1048" t="s">
        <v>615</v>
      </c>
      <c r="I133" s="1048"/>
      <c r="J133" s="1048"/>
    </row>
    <row r="134" spans="2:10" ht="24" customHeight="1">
      <c r="B134" s="531" t="s">
        <v>350</v>
      </c>
      <c r="C134" s="531"/>
      <c r="D134" s="1035">
        <f>1453674.85-19001.71</f>
        <v>1434673.1400000001</v>
      </c>
      <c r="E134" s="1073"/>
      <c r="F134" s="316">
        <v>1164834.38</v>
      </c>
      <c r="G134" s="531"/>
      <c r="H134" s="1048" t="s">
        <v>794</v>
      </c>
      <c r="I134" s="1048"/>
      <c r="J134" s="1048"/>
    </row>
    <row r="135" spans="2:10" ht="24" customHeight="1">
      <c r="B135" s="531"/>
      <c r="C135" s="531"/>
      <c r="D135" s="1035"/>
      <c r="E135" s="1073"/>
      <c r="F135" s="1035"/>
      <c r="G135" s="531"/>
      <c r="H135" s="1048" t="s">
        <v>795</v>
      </c>
      <c r="I135" s="1048"/>
      <c r="J135" s="1048"/>
    </row>
    <row r="136" spans="2:10" ht="24" customHeight="1">
      <c r="B136" s="531"/>
      <c r="C136" s="531"/>
      <c r="D136" s="1035"/>
      <c r="E136" s="1073"/>
      <c r="F136" s="1035"/>
      <c r="G136" s="531"/>
      <c r="H136" s="1048"/>
      <c r="I136" s="1048"/>
      <c r="J136" s="1048"/>
    </row>
    <row r="137" spans="1:10" s="1052" customFormat="1" ht="24" customHeight="1">
      <c r="A137" s="602" t="s">
        <v>1561</v>
      </c>
      <c r="B137" s="602"/>
      <c r="C137" s="602"/>
      <c r="D137" s="602"/>
      <c r="E137" s="602"/>
      <c r="F137" s="602"/>
      <c r="G137" s="602"/>
      <c r="H137" s="602"/>
      <c r="I137" s="602"/>
      <c r="J137" s="602"/>
    </row>
    <row r="138" spans="2:10" ht="24" customHeight="1">
      <c r="B138" s="531"/>
      <c r="C138" s="531"/>
      <c r="D138" s="1035"/>
      <c r="E138" s="1073"/>
      <c r="F138" s="1035"/>
      <c r="G138" s="531"/>
      <c r="H138" s="1048"/>
      <c r="I138" s="1048"/>
      <c r="J138" s="1048"/>
    </row>
    <row r="139" spans="2:10" ht="24" customHeight="1">
      <c r="B139" s="531"/>
      <c r="C139" s="531"/>
      <c r="D139" s="1035"/>
      <c r="E139" s="1073"/>
      <c r="F139" s="1035"/>
      <c r="G139" s="531"/>
      <c r="H139" s="1048"/>
      <c r="I139" s="1048"/>
      <c r="J139" s="1048"/>
    </row>
    <row r="140" spans="2:10" ht="24" customHeight="1">
      <c r="B140" s="531"/>
      <c r="C140" s="531"/>
      <c r="D140" s="1035"/>
      <c r="E140" s="1073"/>
      <c r="F140" s="1035"/>
      <c r="G140" s="531"/>
      <c r="H140" s="1048"/>
      <c r="I140" s="1048"/>
      <c r="J140" s="1048"/>
    </row>
    <row r="141" spans="1:10" ht="24" customHeight="1">
      <c r="A141" s="1029" t="s">
        <v>529</v>
      </c>
      <c r="B141" s="1029"/>
      <c r="C141" s="1029"/>
      <c r="D141" s="1029"/>
      <c r="E141" s="1029"/>
      <c r="F141" s="1029"/>
      <c r="G141" s="1029"/>
      <c r="H141" s="1029"/>
      <c r="I141" s="1029"/>
      <c r="J141" s="1029"/>
    </row>
    <row r="142" spans="1:10" ht="24" customHeight="1">
      <c r="A142" s="1030"/>
      <c r="B142" s="1030"/>
      <c r="C142" s="1030"/>
      <c r="D142" s="1030"/>
      <c r="E142" s="1030"/>
      <c r="F142" s="1030"/>
      <c r="G142" s="1030"/>
      <c r="H142" s="1030"/>
      <c r="I142" s="1030"/>
      <c r="J142" s="1030"/>
    </row>
    <row r="143" ht="24" customHeight="1">
      <c r="A143" s="1031" t="s">
        <v>1769</v>
      </c>
    </row>
    <row r="144" spans="1:10" ht="24" customHeight="1">
      <c r="A144" s="1053"/>
      <c r="B144" s="1053"/>
      <c r="C144" s="1053"/>
      <c r="D144" s="1053"/>
      <c r="E144" s="1053"/>
      <c r="F144" s="1053"/>
      <c r="G144" s="1053"/>
      <c r="H144" s="1053"/>
      <c r="I144" s="1053"/>
      <c r="J144" s="1068" t="s">
        <v>214</v>
      </c>
    </row>
    <row r="145" spans="4:7" ht="24" customHeight="1">
      <c r="D145" s="1038"/>
      <c r="E145" s="1057" t="s">
        <v>126</v>
      </c>
      <c r="F145" s="1041"/>
      <c r="G145" s="1041"/>
    </row>
    <row r="146" spans="4:11" ht="24" customHeight="1">
      <c r="D146" s="1058"/>
      <c r="E146" s="1059" t="s">
        <v>1339</v>
      </c>
      <c r="F146" s="1060"/>
      <c r="G146" s="1044"/>
      <c r="H146" s="1047" t="s">
        <v>600</v>
      </c>
      <c r="I146" s="1047"/>
      <c r="J146" s="1047"/>
      <c r="K146" s="1037"/>
    </row>
    <row r="147" spans="4:10" ht="24" customHeight="1">
      <c r="D147" s="976" t="s">
        <v>898</v>
      </c>
      <c r="E147" s="1042"/>
      <c r="F147" s="976" t="s">
        <v>747</v>
      </c>
      <c r="G147" s="1075"/>
      <c r="H147" s="1072"/>
      <c r="I147" s="1072"/>
      <c r="J147" s="1072"/>
    </row>
    <row r="148" spans="1:10" ht="24" customHeight="1">
      <c r="A148" s="1031" t="s">
        <v>273</v>
      </c>
      <c r="D148" s="1038"/>
      <c r="F148" s="1038"/>
      <c r="H148" s="1072"/>
      <c r="I148" s="1072"/>
      <c r="J148" s="1072"/>
    </row>
    <row r="149" spans="2:10" ht="24" customHeight="1">
      <c r="B149" s="531" t="s">
        <v>107</v>
      </c>
      <c r="C149" s="531"/>
      <c r="D149" s="1035">
        <f>1735745908.48-10141845.43-1530746.37</f>
        <v>1724073316.68</v>
      </c>
      <c r="E149" s="1073"/>
      <c r="F149" s="316">
        <v>1711928859.33</v>
      </c>
      <c r="G149" s="531"/>
      <c r="H149" s="1048" t="s">
        <v>613</v>
      </c>
      <c r="I149" s="1048"/>
      <c r="J149" s="1048"/>
    </row>
    <row r="150" spans="2:10" ht="24" customHeight="1">
      <c r="B150" s="531"/>
      <c r="C150" s="531"/>
      <c r="D150" s="1049"/>
      <c r="E150" s="1049"/>
      <c r="F150" s="1049"/>
      <c r="G150" s="531"/>
      <c r="H150" s="1048" t="s">
        <v>614</v>
      </c>
      <c r="I150" s="1048"/>
      <c r="J150" s="1048"/>
    </row>
    <row r="151" spans="2:10" ht="24" customHeight="1">
      <c r="B151" s="531" t="s">
        <v>355</v>
      </c>
      <c r="C151" s="531"/>
      <c r="D151" s="1035">
        <v>191174250.07</v>
      </c>
      <c r="E151" s="1073"/>
      <c r="F151" s="316">
        <v>81170611.97</v>
      </c>
      <c r="G151" s="531"/>
      <c r="H151" s="1048" t="s">
        <v>792</v>
      </c>
      <c r="I151" s="1048"/>
      <c r="J151" s="1048"/>
    </row>
    <row r="152" spans="2:10" ht="24" customHeight="1">
      <c r="B152" s="531"/>
      <c r="C152" s="531"/>
      <c r="D152" s="1049"/>
      <c r="E152" s="1049"/>
      <c r="F152" s="1049"/>
      <c r="G152" s="531"/>
      <c r="H152" s="1048" t="s">
        <v>793</v>
      </c>
      <c r="I152" s="1048"/>
      <c r="J152" s="1048"/>
    </row>
    <row r="153" spans="2:10" ht="24" customHeight="1">
      <c r="B153" s="531" t="s">
        <v>211</v>
      </c>
      <c r="C153" s="531"/>
      <c r="D153" s="1035">
        <f>86060122.84+117000-231300+1886836.58+1530746.37-231300</f>
        <v>89132105.79</v>
      </c>
      <c r="E153" s="1073"/>
      <c r="F153" s="1035">
        <v>74474441.78</v>
      </c>
      <c r="G153" s="531"/>
      <c r="H153" s="1048" t="s">
        <v>794</v>
      </c>
      <c r="I153" s="1048"/>
      <c r="J153" s="1048"/>
    </row>
    <row r="154" spans="2:10" ht="24" customHeight="1">
      <c r="B154" s="531"/>
      <c r="C154" s="531"/>
      <c r="D154" s="1035"/>
      <c r="E154" s="1073"/>
      <c r="F154" s="1035"/>
      <c r="G154" s="531"/>
      <c r="H154" s="1048" t="s">
        <v>795</v>
      </c>
      <c r="I154" s="1048"/>
      <c r="J154" s="1048"/>
    </row>
    <row r="155" spans="2:10" ht="24" customHeight="1">
      <c r="B155" s="531" t="s">
        <v>208</v>
      </c>
      <c r="C155" s="531"/>
      <c r="D155" s="1035">
        <v>65206320.25</v>
      </c>
      <c r="E155" s="1073"/>
      <c r="F155" s="316">
        <v>67181818.86</v>
      </c>
      <c r="G155" s="531"/>
      <c r="H155" s="1048" t="s">
        <v>794</v>
      </c>
      <c r="I155" s="1048"/>
      <c r="J155" s="1048"/>
    </row>
    <row r="156" spans="2:10" ht="24" customHeight="1">
      <c r="B156" s="531"/>
      <c r="C156" s="531"/>
      <c r="D156" s="1035"/>
      <c r="E156" s="1073"/>
      <c r="F156" s="316"/>
      <c r="G156" s="531"/>
      <c r="H156" s="1048" t="s">
        <v>795</v>
      </c>
      <c r="I156" s="1048"/>
      <c r="J156" s="1048"/>
    </row>
    <row r="157" spans="2:10" ht="24" customHeight="1">
      <c r="B157" s="531" t="s">
        <v>209</v>
      </c>
      <c r="C157" s="531"/>
      <c r="D157" s="1035">
        <v>31763479.42</v>
      </c>
      <c r="E157" s="1073"/>
      <c r="F157" s="316">
        <v>28318761.06</v>
      </c>
      <c r="G157" s="531"/>
      <c r="H157" s="1048" t="s">
        <v>794</v>
      </c>
      <c r="I157" s="1048"/>
      <c r="J157" s="1048"/>
    </row>
    <row r="158" spans="2:10" ht="24" customHeight="1">
      <c r="B158" s="531"/>
      <c r="C158" s="531"/>
      <c r="D158" s="1049"/>
      <c r="E158" s="1049"/>
      <c r="F158" s="1049"/>
      <c r="G158" s="531"/>
      <c r="H158" s="1048" t="s">
        <v>795</v>
      </c>
      <c r="I158" s="1048"/>
      <c r="J158" s="1048"/>
    </row>
    <row r="159" spans="2:10" ht="24" customHeight="1">
      <c r="B159" s="531" t="s">
        <v>274</v>
      </c>
      <c r="C159" s="531"/>
      <c r="D159" s="1035">
        <v>27056811.03</v>
      </c>
      <c r="E159" s="1073"/>
      <c r="F159" s="316">
        <v>27002958.9</v>
      </c>
      <c r="G159" s="531"/>
      <c r="H159" s="1048" t="s">
        <v>796</v>
      </c>
      <c r="I159" s="1048"/>
      <c r="J159" s="1048"/>
    </row>
    <row r="160" spans="2:10" ht="24" customHeight="1">
      <c r="B160" s="531"/>
      <c r="C160" s="531"/>
      <c r="D160" s="1049"/>
      <c r="E160" s="1049"/>
      <c r="F160" s="1049"/>
      <c r="G160" s="531"/>
      <c r="H160" s="1048" t="s">
        <v>797</v>
      </c>
      <c r="I160" s="1048"/>
      <c r="J160" s="1048"/>
    </row>
    <row r="161" spans="2:10" ht="24" customHeight="1">
      <c r="B161" s="531" t="s">
        <v>1564</v>
      </c>
      <c r="C161" s="531"/>
      <c r="D161" s="776">
        <v>11891670.58</v>
      </c>
      <c r="E161" s="776"/>
      <c r="F161" s="776">
        <v>0</v>
      </c>
      <c r="G161" s="531"/>
      <c r="H161" s="1048" t="s">
        <v>1565</v>
      </c>
      <c r="I161" s="1048"/>
      <c r="J161" s="1048"/>
    </row>
    <row r="162" spans="2:10" ht="23.25">
      <c r="B162" s="531"/>
      <c r="C162" s="531"/>
      <c r="D162" s="1074"/>
      <c r="E162" s="1049"/>
      <c r="F162" s="776"/>
      <c r="G162" s="531"/>
      <c r="H162" s="1048" t="s">
        <v>1566</v>
      </c>
      <c r="I162" s="1048"/>
      <c r="J162" s="1048"/>
    </row>
    <row r="163" spans="2:10" ht="24" customHeight="1">
      <c r="B163" s="531" t="s">
        <v>275</v>
      </c>
      <c r="C163" s="531"/>
      <c r="D163" s="1035">
        <v>26913590.28</v>
      </c>
      <c r="E163" s="1073"/>
      <c r="F163" s="316">
        <v>22891227.4</v>
      </c>
      <c r="G163" s="531"/>
      <c r="H163" s="1048" t="s">
        <v>616</v>
      </c>
      <c r="I163" s="1048"/>
      <c r="J163" s="1048"/>
    </row>
    <row r="164" spans="2:10" ht="24" customHeight="1">
      <c r="B164" s="531"/>
      <c r="C164" s="531"/>
      <c r="D164" s="1049"/>
      <c r="E164" s="1049"/>
      <c r="F164" s="1049"/>
      <c r="G164" s="531"/>
      <c r="H164" s="1048" t="s">
        <v>617</v>
      </c>
      <c r="I164" s="1048"/>
      <c r="J164" s="1048"/>
    </row>
    <row r="165" spans="2:10" ht="24" customHeight="1">
      <c r="B165" s="531" t="s">
        <v>210</v>
      </c>
      <c r="C165" s="531"/>
      <c r="D165" s="1035">
        <v>8047596.5</v>
      </c>
      <c r="E165" s="1073"/>
      <c r="F165" s="316">
        <v>7153473</v>
      </c>
      <c r="G165" s="531"/>
      <c r="H165" s="1048" t="s">
        <v>794</v>
      </c>
      <c r="I165" s="1048"/>
      <c r="J165" s="1048"/>
    </row>
    <row r="166" spans="4:10" s="1076" customFormat="1" ht="24" customHeight="1">
      <c r="D166" s="1077"/>
      <c r="E166" s="1078"/>
      <c r="F166" s="776"/>
      <c r="H166" s="1079" t="s">
        <v>795</v>
      </c>
      <c r="I166" s="1079"/>
      <c r="J166" s="1079"/>
    </row>
    <row r="167" spans="2:10" ht="24" customHeight="1">
      <c r="B167" s="531" t="s">
        <v>110</v>
      </c>
      <c r="C167" s="531"/>
      <c r="D167" s="1035">
        <v>3831839.66</v>
      </c>
      <c r="E167" s="1073"/>
      <c r="F167" s="316">
        <v>3278324.63</v>
      </c>
      <c r="G167" s="531"/>
      <c r="H167" s="1048" t="s">
        <v>798</v>
      </c>
      <c r="I167" s="1048"/>
      <c r="J167" s="1048"/>
    </row>
    <row r="168" spans="2:10" ht="24" customHeight="1">
      <c r="B168" s="531"/>
      <c r="C168" s="531"/>
      <c r="D168" s="1074"/>
      <c r="E168" s="1049"/>
      <c r="F168" s="1074"/>
      <c r="G168" s="531"/>
      <c r="H168" s="1048" t="s">
        <v>799</v>
      </c>
      <c r="I168" s="1048"/>
      <c r="J168" s="1048"/>
    </row>
    <row r="169" spans="2:10" ht="24" customHeight="1">
      <c r="B169" s="531" t="s">
        <v>108</v>
      </c>
      <c r="C169" s="531"/>
      <c r="D169" s="1035">
        <v>6455136.31</v>
      </c>
      <c r="E169" s="1073"/>
      <c r="F169" s="316">
        <v>10870538.37</v>
      </c>
      <c r="G169" s="531"/>
      <c r="H169" s="1048" t="s">
        <v>615</v>
      </c>
      <c r="I169" s="1048"/>
      <c r="J169" s="1048"/>
    </row>
    <row r="170" spans="2:10" ht="24" customHeight="1">
      <c r="B170" s="531" t="s">
        <v>350</v>
      </c>
      <c r="C170" s="531"/>
      <c r="D170" s="1035">
        <f>1453674.85-19001.71</f>
        <v>1434673.1400000001</v>
      </c>
      <c r="E170" s="1073"/>
      <c r="F170" s="316">
        <v>1164834.38</v>
      </c>
      <c r="G170" s="531"/>
      <c r="H170" s="1048" t="s">
        <v>794</v>
      </c>
      <c r="I170" s="1048"/>
      <c r="J170" s="1048"/>
    </row>
    <row r="171" spans="2:10" ht="24" customHeight="1">
      <c r="B171" s="531"/>
      <c r="C171" s="531"/>
      <c r="D171" s="1035"/>
      <c r="E171" s="1073"/>
      <c r="F171" s="1035"/>
      <c r="G171" s="531"/>
      <c r="H171" s="1048" t="s">
        <v>795</v>
      </c>
      <c r="I171" s="1048"/>
      <c r="J171" s="1048"/>
    </row>
    <row r="172" spans="2:10" ht="12.75" customHeight="1">
      <c r="B172" s="531"/>
      <c r="C172" s="531"/>
      <c r="D172" s="1074"/>
      <c r="E172" s="1049"/>
      <c r="F172" s="1074"/>
      <c r="G172" s="531"/>
      <c r="H172" s="1048"/>
      <c r="I172" s="1048"/>
      <c r="J172" s="1048"/>
    </row>
    <row r="173" ht="24" customHeight="1">
      <c r="B173" s="596" t="s">
        <v>1911</v>
      </c>
    </row>
    <row r="174" ht="24" customHeight="1">
      <c r="A174" s="596" t="s">
        <v>1567</v>
      </c>
    </row>
    <row r="181" spans="1:10" s="1052" customFormat="1" ht="24" customHeight="1">
      <c r="A181" s="602" t="s">
        <v>1561</v>
      </c>
      <c r="B181" s="602"/>
      <c r="C181" s="602"/>
      <c r="D181" s="602"/>
      <c r="E181" s="602"/>
      <c r="F181" s="602"/>
      <c r="G181" s="602"/>
      <c r="H181" s="602"/>
      <c r="I181" s="602"/>
      <c r="J181" s="602"/>
    </row>
    <row r="188" spans="1:10" ht="24" customHeight="1">
      <c r="A188" s="1029" t="s">
        <v>532</v>
      </c>
      <c r="B188" s="1029"/>
      <c r="C188" s="1029"/>
      <c r="D188" s="1029"/>
      <c r="E188" s="1029"/>
      <c r="F188" s="1029"/>
      <c r="G188" s="1029"/>
      <c r="H188" s="1029"/>
      <c r="I188" s="1029"/>
      <c r="J188" s="1029"/>
    </row>
    <row r="189" spans="1:10" ht="24" customHeight="1">
      <c r="A189" s="1030"/>
      <c r="B189" s="1030"/>
      <c r="C189" s="1030"/>
      <c r="D189" s="1030"/>
      <c r="E189" s="1030"/>
      <c r="F189" s="1030"/>
      <c r="G189" s="1030"/>
      <c r="H189" s="1030"/>
      <c r="I189" s="1030"/>
      <c r="J189" s="1030"/>
    </row>
    <row r="190" ht="24" customHeight="1">
      <c r="A190" s="1031" t="s">
        <v>1769</v>
      </c>
    </row>
    <row r="191" spans="1:11" s="1080" customFormat="1" ht="24" customHeight="1">
      <c r="A191" s="1080" t="s">
        <v>621</v>
      </c>
      <c r="B191" s="1080" t="s">
        <v>1570</v>
      </c>
      <c r="K191" s="1081"/>
    </row>
    <row r="192" spans="10:11" s="1080" customFormat="1" ht="24" customHeight="1">
      <c r="J192" s="1082" t="s">
        <v>214</v>
      </c>
      <c r="K192" s="1081"/>
    </row>
    <row r="193" spans="2:10" s="1052" customFormat="1" ht="24" customHeight="1">
      <c r="B193" s="1069"/>
      <c r="C193" s="1069"/>
      <c r="D193" s="1039"/>
      <c r="E193" s="1040"/>
      <c r="F193" s="1039"/>
      <c r="G193" s="1067"/>
      <c r="H193" s="1039"/>
      <c r="I193" s="1040"/>
      <c r="J193" s="1039" t="s">
        <v>1171</v>
      </c>
    </row>
    <row r="194" spans="2:10" s="1052" customFormat="1" ht="24" customHeight="1">
      <c r="B194" s="1069"/>
      <c r="C194" s="1069"/>
      <c r="D194" s="1039"/>
      <c r="E194" s="1040"/>
      <c r="F194" s="1039"/>
      <c r="G194" s="1067"/>
      <c r="H194" s="1039" t="s">
        <v>1326</v>
      </c>
      <c r="I194" s="1040"/>
      <c r="J194" s="1039" t="s">
        <v>1172</v>
      </c>
    </row>
    <row r="195" spans="2:10" s="1052" customFormat="1" ht="24" customHeight="1">
      <c r="B195" s="1069"/>
      <c r="C195" s="1069"/>
      <c r="D195" s="1039"/>
      <c r="E195" s="1040"/>
      <c r="F195" s="1039"/>
      <c r="G195" s="1067"/>
      <c r="H195" s="1039" t="s">
        <v>126</v>
      </c>
      <c r="I195" s="1040"/>
      <c r="J195" s="1039" t="s">
        <v>1327</v>
      </c>
    </row>
    <row r="196" spans="2:10" s="1052" customFormat="1" ht="24" customHeight="1">
      <c r="B196" s="1069"/>
      <c r="C196" s="1069"/>
      <c r="D196" s="1039"/>
      <c r="E196" s="1043"/>
      <c r="F196" s="1040"/>
      <c r="G196" s="1067"/>
      <c r="H196" s="1094"/>
      <c r="I196" s="1043"/>
      <c r="J196" s="1094" t="s">
        <v>126</v>
      </c>
    </row>
    <row r="197" spans="2:10" s="1052" customFormat="1" ht="24" customHeight="1">
      <c r="B197" s="1069"/>
      <c r="C197" s="1069"/>
      <c r="D197" s="976"/>
      <c r="E197" s="1045"/>
      <c r="F197" s="976"/>
      <c r="G197" s="1067"/>
      <c r="H197" s="976" t="s">
        <v>898</v>
      </c>
      <c r="I197" s="1045"/>
      <c r="J197" s="976" t="s">
        <v>747</v>
      </c>
    </row>
    <row r="198" spans="2:10" s="1080" customFormat="1" ht="24" customHeight="1">
      <c r="B198" s="1080" t="s">
        <v>800</v>
      </c>
      <c r="D198" s="1083"/>
      <c r="E198" s="1093"/>
      <c r="F198" s="1083"/>
      <c r="H198" s="1083">
        <v>434579.44</v>
      </c>
      <c r="J198" s="1083">
        <v>1400000</v>
      </c>
    </row>
    <row r="200" spans="1:11" s="1087" customFormat="1" ht="24" customHeight="1">
      <c r="A200" s="1031"/>
      <c r="B200" s="1080" t="s">
        <v>1571</v>
      </c>
      <c r="C200" s="824"/>
      <c r="D200" s="1084"/>
      <c r="E200" s="1084"/>
      <c r="F200" s="1084"/>
      <c r="G200" s="720"/>
      <c r="H200" s="1085"/>
      <c r="I200" s="1085"/>
      <c r="J200" s="1085"/>
      <c r="K200" s="1086"/>
    </row>
    <row r="201" spans="10:11" s="1080" customFormat="1" ht="24" customHeight="1">
      <c r="J201" s="1082" t="s">
        <v>214</v>
      </c>
      <c r="K201" s="1081"/>
    </row>
    <row r="202" spans="2:10" s="1052" customFormat="1" ht="24" customHeight="1">
      <c r="B202" s="1069"/>
      <c r="C202" s="1069"/>
      <c r="D202" s="1039"/>
      <c r="E202" s="1040"/>
      <c r="F202" s="1039"/>
      <c r="G202" s="1067"/>
      <c r="H202" s="1039"/>
      <c r="I202" s="1040"/>
      <c r="J202" s="1039" t="s">
        <v>1171</v>
      </c>
    </row>
    <row r="203" spans="2:10" s="1052" customFormat="1" ht="24" customHeight="1">
      <c r="B203" s="1069"/>
      <c r="C203" s="1069"/>
      <c r="D203" s="1039"/>
      <c r="E203" s="1040"/>
      <c r="F203" s="1039"/>
      <c r="G203" s="1067"/>
      <c r="H203" s="1039" t="s">
        <v>1326</v>
      </c>
      <c r="I203" s="1040"/>
      <c r="J203" s="1039" t="s">
        <v>1172</v>
      </c>
    </row>
    <row r="204" spans="2:10" s="1052" customFormat="1" ht="24" customHeight="1">
      <c r="B204" s="1069"/>
      <c r="C204" s="1069"/>
      <c r="D204" s="1039"/>
      <c r="E204" s="1040"/>
      <c r="F204" s="1039"/>
      <c r="G204" s="1067"/>
      <c r="H204" s="1039" t="s">
        <v>126</v>
      </c>
      <c r="I204" s="1040"/>
      <c r="J204" s="1039" t="s">
        <v>1327</v>
      </c>
    </row>
    <row r="205" spans="2:10" s="1052" customFormat="1" ht="24" customHeight="1">
      <c r="B205" s="1069"/>
      <c r="C205" s="1069"/>
      <c r="D205" s="1039"/>
      <c r="E205" s="1043"/>
      <c r="F205" s="1040"/>
      <c r="G205" s="1067"/>
      <c r="H205" s="1094"/>
      <c r="I205" s="1043"/>
      <c r="J205" s="1094" t="s">
        <v>126</v>
      </c>
    </row>
    <row r="206" spans="2:10" s="1052" customFormat="1" ht="24" customHeight="1">
      <c r="B206" s="1069"/>
      <c r="C206" s="1069"/>
      <c r="D206" s="1042"/>
      <c r="E206" s="1043"/>
      <c r="F206" s="1039"/>
      <c r="G206" s="1067"/>
      <c r="H206" s="976" t="s">
        <v>898</v>
      </c>
      <c r="I206" s="1045"/>
      <c r="J206" s="976" t="s">
        <v>747</v>
      </c>
    </row>
    <row r="207" spans="2:10" s="1052" customFormat="1" ht="24" customHeight="1">
      <c r="B207" s="1080" t="s">
        <v>1798</v>
      </c>
      <c r="C207" s="1069"/>
      <c r="D207" s="1042"/>
      <c r="E207" s="1043"/>
      <c r="F207" s="1039"/>
      <c r="G207" s="1067"/>
      <c r="H207" s="1083">
        <v>27319200</v>
      </c>
      <c r="I207" s="1080"/>
      <c r="J207" s="1083">
        <v>0</v>
      </c>
    </row>
    <row r="208" spans="2:10" s="1080" customFormat="1" ht="24" customHeight="1">
      <c r="B208" s="1080" t="s">
        <v>1568</v>
      </c>
      <c r="D208" s="1083"/>
      <c r="F208" s="1083"/>
      <c r="H208" s="1083">
        <v>104642310</v>
      </c>
      <c r="J208" s="1083">
        <v>0</v>
      </c>
    </row>
    <row r="209" spans="4:10" s="1080" customFormat="1" ht="24" customHeight="1">
      <c r="D209" s="1083"/>
      <c r="F209" s="1083"/>
      <c r="H209" s="1083"/>
      <c r="J209" s="1083"/>
    </row>
    <row r="210" spans="1:10" s="1087" customFormat="1" ht="24" customHeight="1">
      <c r="A210" s="1031"/>
      <c r="B210" s="228" t="s">
        <v>1572</v>
      </c>
      <c r="C210" s="824"/>
      <c r="D210" s="824"/>
      <c r="E210" s="824"/>
      <c r="F210" s="824"/>
      <c r="G210" s="824"/>
      <c r="H210" s="824"/>
      <c r="I210" s="824"/>
      <c r="J210" s="824"/>
    </row>
    <row r="211" spans="1:11" s="1087" customFormat="1" ht="24" customHeight="1">
      <c r="A211" s="1031"/>
      <c r="B211" s="228"/>
      <c r="C211" s="824"/>
      <c r="D211" s="684"/>
      <c r="E211" s="684"/>
      <c r="F211" s="684"/>
      <c r="G211" s="684"/>
      <c r="H211" s="684"/>
      <c r="I211" s="684"/>
      <c r="J211" s="769" t="s">
        <v>214</v>
      </c>
      <c r="K211" s="1086"/>
    </row>
    <row r="212" spans="2:10" s="1052" customFormat="1" ht="24" customHeight="1">
      <c r="B212" s="1069"/>
      <c r="C212" s="1069"/>
      <c r="D212" s="8"/>
      <c r="E212" s="8"/>
      <c r="F212" s="1039" t="s">
        <v>1171</v>
      </c>
      <c r="G212" s="8"/>
      <c r="H212" s="8"/>
      <c r="I212" s="8"/>
      <c r="J212" s="6"/>
    </row>
    <row r="213" spans="2:10" s="1052" customFormat="1" ht="24" customHeight="1">
      <c r="B213" s="1069"/>
      <c r="C213" s="1069"/>
      <c r="D213" s="1039" t="s">
        <v>541</v>
      </c>
      <c r="E213" s="8"/>
      <c r="F213" s="1039" t="s">
        <v>1172</v>
      </c>
      <c r="G213" s="8"/>
      <c r="H213" s="1091" t="s">
        <v>126</v>
      </c>
      <c r="I213" s="1091"/>
      <c r="J213" s="1091"/>
    </row>
    <row r="214" spans="2:10" s="1052" customFormat="1" ht="24" customHeight="1">
      <c r="B214" s="1069"/>
      <c r="C214" s="1069"/>
      <c r="D214" s="333"/>
      <c r="E214" s="1091"/>
      <c r="F214" s="333" t="s">
        <v>1173</v>
      </c>
      <c r="G214" s="8"/>
      <c r="H214" s="333"/>
      <c r="I214" s="333"/>
      <c r="J214" s="333"/>
    </row>
    <row r="215" spans="2:10" s="1052" customFormat="1" ht="24" customHeight="1">
      <c r="B215" s="1070"/>
      <c r="C215" s="1070"/>
      <c r="D215" s="77" t="s">
        <v>898</v>
      </c>
      <c r="E215" s="7"/>
      <c r="F215" s="77" t="s">
        <v>747</v>
      </c>
      <c r="G215" s="9"/>
      <c r="H215" s="77" t="s">
        <v>898</v>
      </c>
      <c r="I215" s="7"/>
      <c r="J215" s="77" t="s">
        <v>747</v>
      </c>
    </row>
    <row r="216" spans="1:11" s="1087" customFormat="1" ht="24" customHeight="1">
      <c r="A216" s="1031"/>
      <c r="B216" s="228" t="s">
        <v>37</v>
      </c>
      <c r="C216" s="824"/>
      <c r="D216" s="373">
        <f>43316769+35616444</f>
        <v>78933213</v>
      </c>
      <c r="E216" s="909"/>
      <c r="F216" s="373">
        <v>69589043.44</v>
      </c>
      <c r="G216" s="909"/>
      <c r="H216" s="373">
        <v>76204906.25</v>
      </c>
      <c r="I216" s="909"/>
      <c r="J216" s="373">
        <v>69589043.44</v>
      </c>
      <c r="K216" s="1086"/>
    </row>
    <row r="217" spans="1:10" s="1087" customFormat="1" ht="24" customHeight="1">
      <c r="A217" s="1031"/>
      <c r="B217" s="228" t="s">
        <v>38</v>
      </c>
      <c r="C217" s="824"/>
      <c r="D217" s="373">
        <f>349554+1079297</f>
        <v>1428851</v>
      </c>
      <c r="E217" s="909"/>
      <c r="F217" s="373">
        <v>234318</v>
      </c>
      <c r="G217" s="909"/>
      <c r="H217" s="373">
        <v>1707782</v>
      </c>
      <c r="I217" s="909"/>
      <c r="J217" s="373">
        <v>234318</v>
      </c>
    </row>
    <row r="218" spans="1:10" s="1087" customFormat="1" ht="24" customHeight="1" thickBot="1">
      <c r="A218" s="1031"/>
      <c r="B218" s="228" t="s">
        <v>394</v>
      </c>
      <c r="C218" s="824"/>
      <c r="D218" s="1088">
        <f>SUM(D216:D217)</f>
        <v>80362064</v>
      </c>
      <c r="E218" s="1095"/>
      <c r="F218" s="1088">
        <f>SUM(F216:F217)</f>
        <v>69823361.44</v>
      </c>
      <c r="G218" s="909"/>
      <c r="H218" s="1088">
        <f>SUM(H216:H217)</f>
        <v>77912688.25</v>
      </c>
      <c r="I218" s="909"/>
      <c r="J218" s="1088">
        <f>SUM(J216:J217)</f>
        <v>69823361.44</v>
      </c>
    </row>
    <row r="219" ht="24" customHeight="1" thickTop="1"/>
    <row r="220" spans="1:10" s="1087" customFormat="1" ht="24" customHeight="1">
      <c r="A220" s="1031"/>
      <c r="B220" s="228"/>
      <c r="C220" s="824"/>
      <c r="D220" s="373"/>
      <c r="F220" s="373"/>
      <c r="G220" s="909"/>
      <c r="H220" s="373"/>
      <c r="I220" s="909"/>
      <c r="J220" s="373"/>
    </row>
    <row r="221" spans="1:10" s="1087" customFormat="1" ht="24" customHeight="1">
      <c r="A221" s="1031"/>
      <c r="B221" s="228"/>
      <c r="C221" s="824"/>
      <c r="D221" s="373"/>
      <c r="F221" s="373"/>
      <c r="G221" s="909"/>
      <c r="H221" s="373"/>
      <c r="I221" s="909"/>
      <c r="J221" s="373"/>
    </row>
    <row r="222" spans="1:10" s="1087" customFormat="1" ht="24" customHeight="1">
      <c r="A222" s="1031"/>
      <c r="B222" s="228"/>
      <c r="C222" s="824"/>
      <c r="D222" s="373"/>
      <c r="F222" s="373"/>
      <c r="G222" s="909"/>
      <c r="H222" s="373"/>
      <c r="I222" s="909"/>
      <c r="J222" s="373"/>
    </row>
    <row r="223" spans="1:10" s="1087" customFormat="1" ht="24" customHeight="1">
      <c r="A223" s="1031"/>
      <c r="B223" s="228"/>
      <c r="C223" s="824"/>
      <c r="D223" s="373"/>
      <c r="F223" s="373"/>
      <c r="G223" s="909"/>
      <c r="H223" s="373"/>
      <c r="I223" s="909"/>
      <c r="J223" s="373"/>
    </row>
    <row r="224" spans="1:10" s="1087" customFormat="1" ht="24" customHeight="1">
      <c r="A224" s="1031"/>
      <c r="B224" s="228"/>
      <c r="C224" s="824"/>
      <c r="D224" s="373"/>
      <c r="F224" s="373"/>
      <c r="G224" s="909"/>
      <c r="H224" s="373"/>
      <c r="I224" s="909"/>
      <c r="J224" s="373"/>
    </row>
    <row r="225" spans="1:10" s="1087" customFormat="1" ht="24" customHeight="1">
      <c r="A225" s="1031"/>
      <c r="B225" s="228"/>
      <c r="C225" s="824"/>
      <c r="D225" s="373"/>
      <c r="F225" s="373"/>
      <c r="G225" s="909"/>
      <c r="H225" s="373"/>
      <c r="I225" s="909"/>
      <c r="J225" s="373"/>
    </row>
    <row r="226" spans="1:10" s="1087" customFormat="1" ht="24" customHeight="1">
      <c r="A226" s="1031"/>
      <c r="B226" s="228"/>
      <c r="C226" s="824"/>
      <c r="D226" s="373"/>
      <c r="F226" s="373"/>
      <c r="G226" s="909"/>
      <c r="H226" s="373"/>
      <c r="I226" s="909"/>
      <c r="J226" s="373"/>
    </row>
    <row r="227" spans="1:10" s="1087" customFormat="1" ht="24" customHeight="1">
      <c r="A227" s="1031"/>
      <c r="B227" s="228"/>
      <c r="C227" s="824"/>
      <c r="D227" s="373"/>
      <c r="F227" s="373"/>
      <c r="G227" s="909"/>
      <c r="H227" s="373"/>
      <c r="I227" s="909"/>
      <c r="J227" s="373"/>
    </row>
    <row r="228" spans="1:10" s="1087" customFormat="1" ht="24" customHeight="1">
      <c r="A228" s="1031"/>
      <c r="B228" s="228"/>
      <c r="C228" s="824"/>
      <c r="D228" s="373"/>
      <c r="F228" s="373"/>
      <c r="G228" s="909"/>
      <c r="H228" s="373"/>
      <c r="I228" s="909"/>
      <c r="J228" s="373"/>
    </row>
    <row r="229" spans="1:10" s="1052" customFormat="1" ht="24" customHeight="1">
      <c r="A229" s="602" t="s">
        <v>1561</v>
      </c>
      <c r="B229" s="602"/>
      <c r="C229" s="602"/>
      <c r="D229" s="602"/>
      <c r="E229" s="602"/>
      <c r="F229" s="602"/>
      <c r="G229" s="602"/>
      <c r="H229" s="602"/>
      <c r="I229" s="602"/>
      <c r="J229" s="602"/>
    </row>
    <row r="230" spans="1:11" ht="24" customHeight="1">
      <c r="A230" s="495"/>
      <c r="B230" s="495"/>
      <c r="C230" s="495"/>
      <c r="D230" s="495"/>
      <c r="E230" s="495"/>
      <c r="F230" s="495"/>
      <c r="G230" s="495"/>
      <c r="H230" s="140"/>
      <c r="I230" s="495"/>
      <c r="J230" s="495"/>
      <c r="K230" s="538"/>
    </row>
    <row r="231" spans="1:11" ht="24" customHeight="1">
      <c r="A231" s="495"/>
      <c r="B231" s="495"/>
      <c r="C231" s="495"/>
      <c r="D231" s="495"/>
      <c r="E231" s="495"/>
      <c r="F231" s="495"/>
      <c r="G231" s="495"/>
      <c r="H231" s="140"/>
      <c r="I231" s="495"/>
      <c r="J231" s="495"/>
      <c r="K231" s="538"/>
    </row>
    <row r="232" spans="1:11" ht="24" customHeight="1">
      <c r="A232" s="495"/>
      <c r="B232" s="495"/>
      <c r="C232" s="495"/>
      <c r="D232" s="495"/>
      <c r="E232" s="495"/>
      <c r="F232" s="495"/>
      <c r="G232" s="495"/>
      <c r="H232" s="140"/>
      <c r="I232" s="495"/>
      <c r="J232" s="495"/>
      <c r="K232" s="538"/>
    </row>
    <row r="233" spans="1:10" s="1087" customFormat="1" ht="24" customHeight="1">
      <c r="A233" s="1031"/>
      <c r="B233" s="228"/>
      <c r="C233" s="824"/>
      <c r="D233" s="373"/>
      <c r="F233" s="373"/>
      <c r="G233" s="909"/>
      <c r="H233" s="373"/>
      <c r="I233" s="909"/>
      <c r="J233" s="373"/>
    </row>
  </sheetData>
  <sheetProtection/>
  <printOptions/>
  <pageMargins left="0.708661417322835" right="0.196850393700787" top="0.590551181102362" bottom="0.311811023622047" header="0.47244094488189" footer="0.354330708661417"/>
  <pageSetup fitToHeight="0" fitToWidth="1" horizontalDpi="600" verticalDpi="6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78"/>
  <sheetViews>
    <sheetView zoomScale="95" zoomScaleNormal="95" zoomScaleSheetLayoutView="100" workbookViewId="0" topLeftCell="A1">
      <selection activeCell="A1" sqref="A1"/>
    </sheetView>
  </sheetViews>
  <sheetFormatPr defaultColWidth="9.140625" defaultRowHeight="24" customHeight="1"/>
  <cols>
    <col min="1" max="1" width="5.00390625" style="350" customWidth="1"/>
    <col min="2" max="2" width="9.140625" style="350" customWidth="1"/>
    <col min="3" max="3" width="27.8515625" style="350" customWidth="1"/>
    <col min="4" max="4" width="1.1484375" style="350" customWidth="1"/>
    <col min="5" max="5" width="18.28125" style="350" bestFit="1" customWidth="1"/>
    <col min="6" max="6" width="1.1484375" style="350" customWidth="1"/>
    <col min="7" max="7" width="20.00390625" style="350" customWidth="1"/>
    <col min="8" max="8" width="1.1484375" style="350" customWidth="1"/>
    <col min="9" max="9" width="19.57421875" style="350" customWidth="1"/>
    <col min="10" max="10" width="1.1484375" style="350" customWidth="1"/>
    <col min="11" max="11" width="19.8515625" style="350" customWidth="1"/>
    <col min="12" max="12" width="0.9921875" style="350" customWidth="1"/>
    <col min="13" max="13" width="18.8515625" style="350" customWidth="1"/>
    <col min="14" max="16384" width="9.140625" style="306" customWidth="1"/>
  </cols>
  <sheetData>
    <row r="1" spans="1:13" s="596" customFormat="1" ht="24" customHeight="1">
      <c r="A1" s="1029" t="s">
        <v>538</v>
      </c>
      <c r="B1" s="1029"/>
      <c r="C1" s="1029"/>
      <c r="D1" s="1029"/>
      <c r="E1" s="1029"/>
      <c r="F1" s="1029"/>
      <c r="G1" s="1029"/>
      <c r="H1" s="1029"/>
      <c r="I1" s="1029"/>
      <c r="J1" s="1029"/>
      <c r="K1" s="1110"/>
      <c r="L1" s="1110"/>
      <c r="M1" s="1110"/>
    </row>
    <row r="2" spans="1:13" ht="24" customHeight="1">
      <c r="A2" s="1098"/>
      <c r="B2" s="1098"/>
      <c r="C2" s="1098"/>
      <c r="D2" s="1098"/>
      <c r="E2" s="1098"/>
      <c r="F2" s="1098"/>
      <c r="G2" s="1098"/>
      <c r="H2" s="1098"/>
      <c r="I2" s="1098"/>
      <c r="J2" s="1098"/>
      <c r="K2" s="1098"/>
      <c r="L2" s="1098"/>
      <c r="M2" s="1098"/>
    </row>
    <row r="3" spans="1:13" s="350" customFormat="1" ht="24" customHeight="1">
      <c r="A3" s="1031" t="s">
        <v>1769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</row>
    <row r="4" spans="1:17" s="400" customFormat="1" ht="24" customHeight="1">
      <c r="A4" s="388" t="s">
        <v>1770</v>
      </c>
      <c r="B4" s="387"/>
      <c r="C4" s="387"/>
      <c r="D4" s="387"/>
      <c r="E4" s="1099"/>
      <c r="F4" s="387"/>
      <c r="G4" s="387"/>
      <c r="H4" s="387"/>
      <c r="I4" s="387"/>
      <c r="J4" s="387"/>
      <c r="K4" s="387"/>
      <c r="L4" s="387"/>
      <c r="M4" s="387"/>
      <c r="Q4" s="399"/>
    </row>
    <row r="5" spans="1:17" ht="24" customHeight="1">
      <c r="A5" s="409"/>
      <c r="B5" s="400" t="s">
        <v>1638</v>
      </c>
      <c r="C5" s="350" t="s">
        <v>1639</v>
      </c>
      <c r="G5" s="401"/>
      <c r="I5" s="398"/>
      <c r="J5" s="392"/>
      <c r="K5" s="398"/>
      <c r="L5" s="402"/>
      <c r="M5" s="398"/>
      <c r="Q5" s="416"/>
    </row>
    <row r="6" spans="1:17" ht="24" customHeight="1">
      <c r="A6" s="306" t="s">
        <v>1879</v>
      </c>
      <c r="B6" s="306"/>
      <c r="C6" s="306"/>
      <c r="D6" s="306"/>
      <c r="E6" s="389"/>
      <c r="F6" s="389"/>
      <c r="G6" s="389"/>
      <c r="H6" s="410"/>
      <c r="I6" s="411"/>
      <c r="J6" s="411"/>
      <c r="K6" s="411"/>
      <c r="L6" s="411"/>
      <c r="M6" s="411"/>
      <c r="Q6" s="416"/>
    </row>
    <row r="7" spans="1:17" ht="24" customHeight="1">
      <c r="A7" s="306" t="s">
        <v>1880</v>
      </c>
      <c r="B7" s="389"/>
      <c r="C7" s="306"/>
      <c r="D7" s="306"/>
      <c r="E7" s="389"/>
      <c r="F7" s="389"/>
      <c r="G7" s="389"/>
      <c r="H7" s="410"/>
      <c r="I7" s="411"/>
      <c r="J7" s="411"/>
      <c r="K7" s="411"/>
      <c r="L7" s="411"/>
      <c r="M7" s="411"/>
      <c r="Q7" s="416"/>
    </row>
    <row r="8" spans="1:13" s="350" customFormat="1" ht="24" customHeight="1">
      <c r="A8" s="350" t="s">
        <v>372</v>
      </c>
      <c r="K8" s="306"/>
      <c r="L8" s="306"/>
      <c r="M8" s="390" t="s">
        <v>214</v>
      </c>
    </row>
    <row r="9" spans="2:13" s="350" customFormat="1" ht="24" customHeight="1">
      <c r="B9" s="352"/>
      <c r="C9" s="391"/>
      <c r="D9" s="391"/>
      <c r="E9" s="391"/>
      <c r="F9" s="351"/>
      <c r="G9" s="1100"/>
      <c r="H9" s="1101"/>
      <c r="I9" s="1100" t="s">
        <v>1171</v>
      </c>
      <c r="J9" s="1102"/>
      <c r="K9" s="1103"/>
      <c r="L9" s="1104"/>
      <c r="M9" s="1105"/>
    </row>
    <row r="10" spans="2:13" s="350" customFormat="1" ht="24" customHeight="1">
      <c r="B10" s="352"/>
      <c r="C10" s="391"/>
      <c r="D10" s="391"/>
      <c r="E10" s="391"/>
      <c r="F10" s="351"/>
      <c r="G10" s="1100" t="s">
        <v>541</v>
      </c>
      <c r="H10" s="1101"/>
      <c r="I10" s="1100" t="s">
        <v>1172</v>
      </c>
      <c r="J10" s="1102"/>
      <c r="K10" s="1104" t="s">
        <v>126</v>
      </c>
      <c r="L10" s="1104"/>
      <c r="M10" s="1106"/>
    </row>
    <row r="11" spans="7:13" s="350" customFormat="1" ht="24" customHeight="1">
      <c r="G11" s="1107"/>
      <c r="H11" s="1108"/>
      <c r="I11" s="1107" t="s">
        <v>1173</v>
      </c>
      <c r="J11" s="1102"/>
      <c r="K11" s="1107"/>
      <c r="L11" s="1107"/>
      <c r="M11" s="1107"/>
    </row>
    <row r="12" spans="1:13" s="350" customFormat="1" ht="24" customHeight="1">
      <c r="A12" s="397"/>
      <c r="B12" s="398"/>
      <c r="E12" s="412"/>
      <c r="F12" s="398"/>
      <c r="G12" s="394" t="s">
        <v>898</v>
      </c>
      <c r="H12" s="395"/>
      <c r="I12" s="394" t="s">
        <v>747</v>
      </c>
      <c r="J12" s="393"/>
      <c r="K12" s="394" t="s">
        <v>898</v>
      </c>
      <c r="L12" s="395"/>
      <c r="M12" s="394" t="s">
        <v>747</v>
      </c>
    </row>
    <row r="13" spans="1:13" s="350" customFormat="1" ht="24" customHeight="1">
      <c r="A13" s="397"/>
      <c r="B13" s="398"/>
      <c r="E13" s="396" t="s">
        <v>351</v>
      </c>
      <c r="G13" s="394"/>
      <c r="H13" s="395"/>
      <c r="I13" s="394"/>
      <c r="J13" s="393"/>
      <c r="K13" s="394"/>
      <c r="L13" s="395"/>
      <c r="M13" s="394"/>
    </row>
    <row r="14" spans="1:15" s="400" customFormat="1" ht="24" customHeight="1">
      <c r="A14" s="397" t="s">
        <v>669</v>
      </c>
      <c r="B14" s="1109" t="s">
        <v>670</v>
      </c>
      <c r="C14" s="350"/>
      <c r="D14" s="350"/>
      <c r="E14" s="392" t="s">
        <v>179</v>
      </c>
      <c r="F14" s="350"/>
      <c r="G14" s="398">
        <v>7011483.65</v>
      </c>
      <c r="H14" s="398"/>
      <c r="I14" s="398">
        <v>7042365.75</v>
      </c>
      <c r="J14" s="392"/>
      <c r="K14" s="398">
        <v>7011483.65</v>
      </c>
      <c r="L14" s="398"/>
      <c r="M14" s="398">
        <v>7042365.75</v>
      </c>
      <c r="O14" s="419"/>
    </row>
    <row r="15" spans="1:15" s="400" customFormat="1" ht="24" customHeight="1">
      <c r="A15" s="397" t="s">
        <v>671</v>
      </c>
      <c r="B15" s="1109" t="s">
        <v>672</v>
      </c>
      <c r="C15" s="350"/>
      <c r="D15" s="350"/>
      <c r="G15" s="398"/>
      <c r="K15" s="398"/>
      <c r="O15" s="419"/>
    </row>
    <row r="16" spans="1:15" s="400" customFormat="1" ht="24" customHeight="1">
      <c r="A16" s="397"/>
      <c r="B16" s="1109" t="s">
        <v>1640</v>
      </c>
      <c r="C16" s="350"/>
      <c r="D16" s="350"/>
      <c r="E16" s="392" t="s">
        <v>178</v>
      </c>
      <c r="F16" s="350"/>
      <c r="G16" s="398">
        <f>17256103.1+6339845.66</f>
        <v>23595948.76</v>
      </c>
      <c r="H16" s="350"/>
      <c r="I16" s="398">
        <v>15232568.559999997</v>
      </c>
      <c r="J16" s="403"/>
      <c r="K16" s="398">
        <v>17256103.099999998</v>
      </c>
      <c r="L16" s="403"/>
      <c r="M16" s="398">
        <v>15232568.559999997</v>
      </c>
      <c r="O16" s="419"/>
    </row>
    <row r="17" spans="1:15" s="417" customFormat="1" ht="24" customHeight="1">
      <c r="A17" s="414" t="s">
        <v>673</v>
      </c>
      <c r="B17" s="398" t="s">
        <v>674</v>
      </c>
      <c r="C17" s="350"/>
      <c r="D17" s="350"/>
      <c r="E17" s="392" t="s">
        <v>182</v>
      </c>
      <c r="F17" s="350"/>
      <c r="G17" s="398">
        <v>954634.03</v>
      </c>
      <c r="H17" s="350"/>
      <c r="I17" s="398">
        <v>810997.91</v>
      </c>
      <c r="J17" s="403"/>
      <c r="K17" s="398">
        <v>954634.03</v>
      </c>
      <c r="L17" s="403"/>
      <c r="M17" s="398">
        <v>810997.91</v>
      </c>
      <c r="O17" s="419"/>
    </row>
    <row r="18" spans="1:13" s="400" customFormat="1" ht="24" customHeight="1">
      <c r="A18" s="414" t="s">
        <v>675</v>
      </c>
      <c r="B18" s="398" t="s">
        <v>676</v>
      </c>
      <c r="C18" s="350"/>
      <c r="D18" s="350"/>
      <c r="E18" s="392" t="s">
        <v>178</v>
      </c>
      <c r="F18" s="350"/>
      <c r="G18" s="398">
        <v>61443387.66</v>
      </c>
      <c r="H18" s="350"/>
      <c r="I18" s="398">
        <v>13372756.79</v>
      </c>
      <c r="J18" s="403"/>
      <c r="K18" s="398">
        <v>61443387.66</v>
      </c>
      <c r="L18" s="403"/>
      <c r="M18" s="398">
        <v>13372756.79</v>
      </c>
    </row>
    <row r="19" spans="1:15" s="400" customFormat="1" ht="24" customHeight="1">
      <c r="A19" s="414" t="s">
        <v>677</v>
      </c>
      <c r="B19" s="1109" t="s">
        <v>679</v>
      </c>
      <c r="C19" s="350"/>
      <c r="D19" s="350"/>
      <c r="E19" s="392" t="s">
        <v>178</v>
      </c>
      <c r="F19" s="350"/>
      <c r="G19" s="398">
        <v>5009370.6</v>
      </c>
      <c r="H19" s="350"/>
      <c r="I19" s="398">
        <v>4622210.45</v>
      </c>
      <c r="J19" s="403"/>
      <c r="K19" s="398">
        <v>5009370.6</v>
      </c>
      <c r="L19" s="403"/>
      <c r="M19" s="398">
        <v>4622210.45</v>
      </c>
      <c r="O19" s="419"/>
    </row>
    <row r="20" spans="1:15" s="400" customFormat="1" ht="24" customHeight="1">
      <c r="A20" s="414" t="s">
        <v>678</v>
      </c>
      <c r="B20" s="1109" t="s">
        <v>811</v>
      </c>
      <c r="C20" s="350"/>
      <c r="D20" s="350"/>
      <c r="E20" s="392"/>
      <c r="F20" s="350"/>
      <c r="G20" s="398"/>
      <c r="H20" s="350"/>
      <c r="I20" s="398"/>
      <c r="J20" s="403"/>
      <c r="K20" s="398"/>
      <c r="L20" s="403"/>
      <c r="M20" s="398"/>
      <c r="O20" s="419"/>
    </row>
    <row r="21" spans="1:15" s="400" customFormat="1" ht="24" customHeight="1">
      <c r="A21" s="397"/>
      <c r="B21" s="1109" t="s">
        <v>812</v>
      </c>
      <c r="C21" s="350"/>
      <c r="D21" s="350"/>
      <c r="E21" s="392" t="s">
        <v>178</v>
      </c>
      <c r="F21" s="350"/>
      <c r="G21" s="398">
        <v>3740303.7800000003</v>
      </c>
      <c r="H21" s="398"/>
      <c r="I21" s="398">
        <v>4019689.3</v>
      </c>
      <c r="J21" s="398"/>
      <c r="K21" s="398">
        <v>3740303.7800000003</v>
      </c>
      <c r="L21" s="398"/>
      <c r="M21" s="398">
        <v>4019689.3</v>
      </c>
      <c r="N21" s="419"/>
      <c r="O21" s="419"/>
    </row>
    <row r="22" spans="1:15" s="400" customFormat="1" ht="24" customHeight="1">
      <c r="A22" s="397" t="s">
        <v>680</v>
      </c>
      <c r="B22" s="1109" t="s">
        <v>681</v>
      </c>
      <c r="C22" s="350"/>
      <c r="D22" s="350"/>
      <c r="E22" s="392" t="s">
        <v>179</v>
      </c>
      <c r="F22" s="350"/>
      <c r="G22" s="398">
        <v>1452310.79</v>
      </c>
      <c r="H22" s="398"/>
      <c r="I22" s="398">
        <v>1845826.2999999998</v>
      </c>
      <c r="J22" s="392"/>
      <c r="K22" s="398">
        <v>1452310.79</v>
      </c>
      <c r="L22" s="398"/>
      <c r="M22" s="398">
        <v>1845826.2999999998</v>
      </c>
      <c r="O22" s="419"/>
    </row>
    <row r="23" spans="1:15" s="400" customFormat="1" ht="24" customHeight="1">
      <c r="A23" s="397" t="s">
        <v>30</v>
      </c>
      <c r="B23" s="398" t="s">
        <v>684</v>
      </c>
      <c r="C23" s="350"/>
      <c r="D23" s="350"/>
      <c r="E23" s="392" t="s">
        <v>233</v>
      </c>
      <c r="F23" s="350"/>
      <c r="G23" s="398">
        <v>977291.8200000001</v>
      </c>
      <c r="H23" s="350"/>
      <c r="I23" s="398">
        <v>1187346.51</v>
      </c>
      <c r="J23" s="403"/>
      <c r="K23" s="398">
        <v>977291.8200000001</v>
      </c>
      <c r="L23" s="403"/>
      <c r="M23" s="398">
        <v>1187346.51</v>
      </c>
      <c r="O23" s="419"/>
    </row>
    <row r="24" spans="1:15" s="417" customFormat="1" ht="24" customHeight="1">
      <c r="A24" s="397" t="s">
        <v>39</v>
      </c>
      <c r="B24" s="1109" t="s">
        <v>685</v>
      </c>
      <c r="C24" s="350"/>
      <c r="D24" s="350"/>
      <c r="E24" s="392" t="s">
        <v>233</v>
      </c>
      <c r="F24" s="350"/>
      <c r="G24" s="398">
        <v>19436005.7</v>
      </c>
      <c r="I24" s="398">
        <v>19740500.34</v>
      </c>
      <c r="K24" s="398">
        <v>19436005.7</v>
      </c>
      <c r="L24" s="400"/>
      <c r="M24" s="398">
        <v>19740500.34</v>
      </c>
      <c r="O24" s="419"/>
    </row>
    <row r="25" spans="1:15" s="417" customFormat="1" ht="24" customHeight="1">
      <c r="A25" s="397" t="s">
        <v>42</v>
      </c>
      <c r="B25" s="398" t="s">
        <v>686</v>
      </c>
      <c r="C25" s="350"/>
      <c r="D25" s="350"/>
      <c r="E25" s="392" t="s">
        <v>233</v>
      </c>
      <c r="F25" s="350"/>
      <c r="G25" s="398">
        <v>6207.98</v>
      </c>
      <c r="H25" s="398"/>
      <c r="I25" s="398">
        <v>6010064.27</v>
      </c>
      <c r="J25" s="398"/>
      <c r="K25" s="398">
        <v>6207.98</v>
      </c>
      <c r="L25" s="400"/>
      <c r="M25" s="398">
        <v>6010064.27</v>
      </c>
      <c r="O25" s="419"/>
    </row>
    <row r="26" spans="1:15" s="400" customFormat="1" ht="24" customHeight="1">
      <c r="A26" s="397" t="s">
        <v>43</v>
      </c>
      <c r="B26" s="398" t="s">
        <v>687</v>
      </c>
      <c r="C26" s="350"/>
      <c r="D26" s="350"/>
      <c r="E26" s="392" t="s">
        <v>233</v>
      </c>
      <c r="F26" s="350"/>
      <c r="G26" s="398">
        <v>1334486.27</v>
      </c>
      <c r="H26" s="398"/>
      <c r="I26" s="398">
        <v>1423291.19</v>
      </c>
      <c r="J26" s="398"/>
      <c r="K26" s="398">
        <v>1334486.27</v>
      </c>
      <c r="M26" s="398">
        <v>1423291.19</v>
      </c>
      <c r="O26" s="419"/>
    </row>
    <row r="27" spans="1:15" s="400" customFormat="1" ht="24" customHeight="1">
      <c r="A27" s="397" t="s">
        <v>44</v>
      </c>
      <c r="B27" s="1109" t="s">
        <v>813</v>
      </c>
      <c r="C27" s="350"/>
      <c r="D27" s="350"/>
      <c r="E27" s="392" t="s">
        <v>233</v>
      </c>
      <c r="F27" s="350"/>
      <c r="G27" s="398">
        <v>2054460.94</v>
      </c>
      <c r="H27" s="350"/>
      <c r="I27" s="398">
        <v>1936677.6400000001</v>
      </c>
      <c r="J27" s="403"/>
      <c r="K27" s="398">
        <v>2054460.94</v>
      </c>
      <c r="L27" s="403"/>
      <c r="M27" s="398">
        <v>1936677.6400000001</v>
      </c>
      <c r="O27" s="419"/>
    </row>
    <row r="28" spans="1:15" s="400" customFormat="1" ht="24" customHeight="1">
      <c r="A28" s="397" t="s">
        <v>45</v>
      </c>
      <c r="B28" s="398" t="s">
        <v>688</v>
      </c>
      <c r="C28" s="350"/>
      <c r="D28" s="350"/>
      <c r="E28" s="392" t="s">
        <v>233</v>
      </c>
      <c r="F28" s="350"/>
      <c r="G28" s="398">
        <v>3718570.0900000003</v>
      </c>
      <c r="H28" s="350"/>
      <c r="I28" s="398">
        <v>4501755.38</v>
      </c>
      <c r="J28" s="403"/>
      <c r="K28" s="398">
        <v>3718570.0900000003</v>
      </c>
      <c r="M28" s="398">
        <v>4501755.38</v>
      </c>
      <c r="O28" s="419"/>
    </row>
    <row r="29" spans="1:15" s="400" customFormat="1" ht="24" customHeight="1">
      <c r="A29" s="397" t="s">
        <v>46</v>
      </c>
      <c r="B29" s="398" t="s">
        <v>689</v>
      </c>
      <c r="C29" s="350"/>
      <c r="D29" s="350"/>
      <c r="E29" s="392" t="s">
        <v>233</v>
      </c>
      <c r="F29" s="350"/>
      <c r="G29" s="398">
        <v>7111053.09</v>
      </c>
      <c r="H29" s="398"/>
      <c r="I29" s="398">
        <v>6386482.129999999</v>
      </c>
      <c r="J29" s="398"/>
      <c r="K29" s="398">
        <v>7111053.09</v>
      </c>
      <c r="M29" s="398">
        <v>6386482.129999999</v>
      </c>
      <c r="O29" s="419"/>
    </row>
    <row r="30" spans="1:15" s="400" customFormat="1" ht="24" customHeight="1">
      <c r="A30" s="397" t="s">
        <v>47</v>
      </c>
      <c r="B30" s="1109" t="s">
        <v>690</v>
      </c>
      <c r="C30" s="350"/>
      <c r="D30" s="350"/>
      <c r="E30" s="392" t="s">
        <v>233</v>
      </c>
      <c r="F30" s="350"/>
      <c r="G30" s="398">
        <v>908906.31</v>
      </c>
      <c r="H30" s="350"/>
      <c r="I30" s="398">
        <v>809577.31</v>
      </c>
      <c r="J30" s="403"/>
      <c r="K30" s="398">
        <v>908906.31</v>
      </c>
      <c r="L30" s="403"/>
      <c r="M30" s="398">
        <v>809577.31</v>
      </c>
      <c r="O30" s="419"/>
    </row>
    <row r="31" spans="1:15" s="400" customFormat="1" ht="24" customHeight="1">
      <c r="A31" s="397" t="s">
        <v>48</v>
      </c>
      <c r="B31" s="398" t="s">
        <v>691</v>
      </c>
      <c r="C31" s="350"/>
      <c r="D31" s="350"/>
      <c r="E31" s="392" t="s">
        <v>228</v>
      </c>
      <c r="F31" s="350"/>
      <c r="G31" s="398">
        <v>22718.27</v>
      </c>
      <c r="H31" s="398"/>
      <c r="I31" s="398">
        <v>945680.4300000002</v>
      </c>
      <c r="J31" s="398"/>
      <c r="K31" s="398">
        <v>22718.27</v>
      </c>
      <c r="L31" s="398"/>
      <c r="M31" s="398">
        <v>945680.4300000002</v>
      </c>
      <c r="O31" s="419"/>
    </row>
    <row r="32" spans="1:15" s="400" customFormat="1" ht="24" customHeight="1">
      <c r="A32" s="397" t="s">
        <v>49</v>
      </c>
      <c r="B32" s="398" t="s">
        <v>692</v>
      </c>
      <c r="C32" s="350"/>
      <c r="D32" s="350"/>
      <c r="E32" s="392" t="s">
        <v>135</v>
      </c>
      <c r="F32" s="350"/>
      <c r="G32" s="398">
        <v>2623959.89</v>
      </c>
      <c r="H32" s="398"/>
      <c r="I32" s="398">
        <v>2687606.16</v>
      </c>
      <c r="J32" s="398"/>
      <c r="K32" s="398">
        <v>2623959.89</v>
      </c>
      <c r="M32" s="398">
        <v>2687606.16</v>
      </c>
      <c r="O32" s="419"/>
    </row>
    <row r="33" spans="1:15" s="400" customFormat="1" ht="24" customHeight="1">
      <c r="A33" s="397" t="s">
        <v>50</v>
      </c>
      <c r="B33" s="1109" t="s">
        <v>815</v>
      </c>
      <c r="C33" s="350"/>
      <c r="D33" s="350"/>
      <c r="E33" s="392" t="s">
        <v>233</v>
      </c>
      <c r="F33" s="350"/>
      <c r="G33" s="398">
        <v>1530900.6</v>
      </c>
      <c r="H33" s="350"/>
      <c r="I33" s="398">
        <v>1280021.3099999998</v>
      </c>
      <c r="J33" s="403"/>
      <c r="K33" s="398">
        <v>1530900.6</v>
      </c>
      <c r="L33" s="403"/>
      <c r="M33" s="398">
        <v>1280021.3099999998</v>
      </c>
      <c r="O33" s="419"/>
    </row>
    <row r="34" spans="1:15" s="400" customFormat="1" ht="24" customHeight="1">
      <c r="A34" s="397" t="s">
        <v>51</v>
      </c>
      <c r="B34" s="1109" t="s">
        <v>816</v>
      </c>
      <c r="C34" s="350"/>
      <c r="D34" s="350"/>
      <c r="E34" s="392" t="s">
        <v>228</v>
      </c>
      <c r="F34" s="350"/>
      <c r="G34" s="398">
        <v>16085851.79</v>
      </c>
      <c r="H34" s="350"/>
      <c r="I34" s="398">
        <v>15133249.16</v>
      </c>
      <c r="J34" s="403"/>
      <c r="K34" s="398">
        <v>16085851.79</v>
      </c>
      <c r="L34" s="403"/>
      <c r="M34" s="398">
        <v>15133249.16</v>
      </c>
      <c r="O34" s="419"/>
    </row>
    <row r="35" spans="1:15" s="400" customFormat="1" ht="24" customHeight="1">
      <c r="A35" s="397" t="s">
        <v>52</v>
      </c>
      <c r="B35" s="1109" t="s">
        <v>1641</v>
      </c>
      <c r="C35" s="350"/>
      <c r="D35" s="350"/>
      <c r="G35" s="398"/>
      <c r="K35" s="398"/>
      <c r="O35" s="419"/>
    </row>
    <row r="36" spans="1:15" s="400" customFormat="1" ht="24" customHeight="1">
      <c r="A36" s="397"/>
      <c r="B36" s="1109" t="s">
        <v>1642</v>
      </c>
      <c r="C36" s="350"/>
      <c r="D36" s="350"/>
      <c r="E36" s="392" t="s">
        <v>178</v>
      </c>
      <c r="F36" s="392"/>
      <c r="G36" s="398">
        <v>5779182.61</v>
      </c>
      <c r="H36" s="350"/>
      <c r="I36" s="398">
        <v>10026987.59</v>
      </c>
      <c r="J36" s="403"/>
      <c r="K36" s="398">
        <v>5779182.61</v>
      </c>
      <c r="L36" s="403"/>
      <c r="M36" s="398">
        <v>10026987.59</v>
      </c>
      <c r="O36" s="419"/>
    </row>
    <row r="37" spans="1:15" s="400" customFormat="1" ht="24" customHeight="1">
      <c r="A37" s="397" t="s">
        <v>53</v>
      </c>
      <c r="B37" s="398" t="s">
        <v>694</v>
      </c>
      <c r="C37" s="350"/>
      <c r="D37" s="350"/>
      <c r="E37" s="392" t="s">
        <v>817</v>
      </c>
      <c r="F37" s="392"/>
      <c r="G37" s="398">
        <v>534015.53</v>
      </c>
      <c r="H37" s="398"/>
      <c r="I37" s="398">
        <v>539783.51</v>
      </c>
      <c r="J37" s="398"/>
      <c r="K37" s="398">
        <v>534015.53</v>
      </c>
      <c r="L37" s="398"/>
      <c r="M37" s="398">
        <v>539783.51</v>
      </c>
      <c r="O37" s="419"/>
    </row>
    <row r="38" spans="1:15" s="400" customFormat="1" ht="24" customHeight="1">
      <c r="A38" s="397" t="s">
        <v>54</v>
      </c>
      <c r="B38" s="1109" t="s">
        <v>818</v>
      </c>
      <c r="C38" s="350"/>
      <c r="D38" s="350"/>
      <c r="E38" s="401" t="s">
        <v>228</v>
      </c>
      <c r="F38" s="350"/>
      <c r="G38" s="398">
        <v>2586393.65</v>
      </c>
      <c r="H38" s="350"/>
      <c r="I38" s="398">
        <v>2339277.9</v>
      </c>
      <c r="J38" s="403"/>
      <c r="K38" s="398">
        <v>2586393.65</v>
      </c>
      <c r="L38" s="403"/>
      <c r="M38" s="398">
        <v>2339277.9</v>
      </c>
      <c r="O38" s="419"/>
    </row>
    <row r="39" spans="1:15" s="350" customFormat="1" ht="24" customHeight="1">
      <c r="A39" s="397" t="s">
        <v>55</v>
      </c>
      <c r="B39" s="1109" t="s">
        <v>819</v>
      </c>
      <c r="C39" s="306"/>
      <c r="D39" s="306"/>
      <c r="E39" s="392" t="s">
        <v>233</v>
      </c>
      <c r="F39" s="306"/>
      <c r="G39" s="398">
        <v>1372057.64</v>
      </c>
      <c r="H39" s="398"/>
      <c r="I39" s="398">
        <v>886430.1200000001</v>
      </c>
      <c r="J39" s="398"/>
      <c r="K39" s="398">
        <v>1372057.64</v>
      </c>
      <c r="L39" s="400"/>
      <c r="M39" s="398">
        <v>886430.1200000001</v>
      </c>
      <c r="O39" s="419"/>
    </row>
    <row r="40" spans="1:15" s="417" customFormat="1" ht="24" customHeight="1">
      <c r="A40" s="397"/>
      <c r="B40" s="1109"/>
      <c r="C40" s="350"/>
      <c r="D40" s="350"/>
      <c r="E40" s="392"/>
      <c r="F40" s="350"/>
      <c r="G40" s="398"/>
      <c r="H40" s="398"/>
      <c r="I40" s="398"/>
      <c r="J40" s="398"/>
      <c r="K40" s="398"/>
      <c r="L40" s="400"/>
      <c r="M40" s="398"/>
      <c r="O40" s="419"/>
    </row>
    <row r="41" spans="1:15" s="417" customFormat="1" ht="24" customHeight="1">
      <c r="A41" s="397"/>
      <c r="B41" s="1109"/>
      <c r="C41" s="350"/>
      <c r="D41" s="350"/>
      <c r="E41" s="392"/>
      <c r="F41" s="350"/>
      <c r="G41" s="398"/>
      <c r="H41" s="398"/>
      <c r="I41" s="398"/>
      <c r="J41" s="398"/>
      <c r="K41" s="398"/>
      <c r="L41" s="400"/>
      <c r="M41" s="398"/>
      <c r="O41" s="419"/>
    </row>
    <row r="42" spans="1:15" s="417" customFormat="1" ht="24" customHeight="1">
      <c r="A42" s="397"/>
      <c r="B42" s="1109"/>
      <c r="C42" s="350"/>
      <c r="D42" s="350"/>
      <c r="E42" s="392"/>
      <c r="F42" s="350"/>
      <c r="G42" s="398"/>
      <c r="H42" s="398"/>
      <c r="I42" s="398"/>
      <c r="J42" s="398"/>
      <c r="K42" s="398"/>
      <c r="L42" s="400"/>
      <c r="M42" s="398"/>
      <c r="O42" s="419"/>
    </row>
    <row r="43" spans="1:13" s="1052" customFormat="1" ht="24" customHeight="1">
      <c r="A43" s="1009" t="s">
        <v>1649</v>
      </c>
      <c r="B43" s="1009"/>
      <c r="C43" s="1009"/>
      <c r="D43" s="1009"/>
      <c r="E43" s="1009"/>
      <c r="F43" s="1009"/>
      <c r="G43" s="1009"/>
      <c r="H43" s="1009"/>
      <c r="I43" s="1009"/>
      <c r="J43" s="1009"/>
      <c r="K43" s="1111"/>
      <c r="L43" s="1111"/>
      <c r="M43" s="1111"/>
    </row>
    <row r="44" spans="1:15" s="400" customFormat="1" ht="24" customHeight="1">
      <c r="A44" s="397"/>
      <c r="B44" s="1109"/>
      <c r="C44" s="350"/>
      <c r="D44" s="350"/>
      <c r="E44" s="404"/>
      <c r="F44" s="350"/>
      <c r="G44" s="398"/>
      <c r="H44" s="398"/>
      <c r="I44" s="398"/>
      <c r="J44" s="398"/>
      <c r="K44" s="398"/>
      <c r="M44" s="398"/>
      <c r="O44" s="419"/>
    </row>
    <row r="45" spans="1:13" s="596" customFormat="1" ht="24" customHeight="1">
      <c r="A45" s="1029" t="s">
        <v>559</v>
      </c>
      <c r="B45" s="1029"/>
      <c r="C45" s="1029"/>
      <c r="D45" s="1029"/>
      <c r="E45" s="1029"/>
      <c r="F45" s="1029"/>
      <c r="G45" s="1029"/>
      <c r="H45" s="1029"/>
      <c r="I45" s="1029"/>
      <c r="J45" s="1029"/>
      <c r="K45" s="1110"/>
      <c r="L45" s="1110"/>
      <c r="M45" s="1110"/>
    </row>
    <row r="46" spans="1:13" ht="24" customHeight="1">
      <c r="A46" s="1098"/>
      <c r="B46" s="1098"/>
      <c r="C46" s="1098"/>
      <c r="D46" s="1098"/>
      <c r="E46" s="1098"/>
      <c r="F46" s="1098"/>
      <c r="G46" s="1098"/>
      <c r="H46" s="1098"/>
      <c r="I46" s="1098"/>
      <c r="J46" s="1098"/>
      <c r="K46" s="1098"/>
      <c r="L46" s="1098"/>
      <c r="M46" s="1098"/>
    </row>
    <row r="47" spans="1:13" s="350" customFormat="1" ht="24" customHeight="1">
      <c r="A47" s="1031" t="s">
        <v>1769</v>
      </c>
      <c r="B47" s="387"/>
      <c r="C47" s="387"/>
      <c r="D47" s="387"/>
      <c r="E47" s="387"/>
      <c r="F47" s="387"/>
      <c r="G47" s="387"/>
      <c r="H47" s="387"/>
      <c r="I47" s="387"/>
      <c r="J47" s="387"/>
      <c r="K47" s="387"/>
      <c r="L47" s="387"/>
      <c r="M47" s="387"/>
    </row>
    <row r="48" spans="1:17" s="400" customFormat="1" ht="24" customHeight="1">
      <c r="A48" s="388" t="s">
        <v>1772</v>
      </c>
      <c r="B48" s="387"/>
      <c r="C48" s="387"/>
      <c r="D48" s="387"/>
      <c r="E48" s="1099"/>
      <c r="F48" s="387"/>
      <c r="G48" s="387"/>
      <c r="H48" s="387"/>
      <c r="I48" s="387"/>
      <c r="J48" s="387"/>
      <c r="K48" s="387"/>
      <c r="L48" s="387"/>
      <c r="M48" s="387"/>
      <c r="Q48" s="399"/>
    </row>
    <row r="49" spans="1:13" s="350" customFormat="1" ht="24" customHeight="1">
      <c r="A49" s="350" t="s">
        <v>372</v>
      </c>
      <c r="K49" s="306"/>
      <c r="L49" s="306"/>
      <c r="M49" s="390" t="s">
        <v>214</v>
      </c>
    </row>
    <row r="50" spans="2:13" s="350" customFormat="1" ht="24" customHeight="1">
      <c r="B50" s="352"/>
      <c r="C50" s="391"/>
      <c r="D50" s="391"/>
      <c r="E50" s="391"/>
      <c r="F50" s="351"/>
      <c r="G50" s="1100"/>
      <c r="H50" s="1101"/>
      <c r="I50" s="1100" t="s">
        <v>1171</v>
      </c>
      <c r="J50" s="1102"/>
      <c r="K50" s="1103"/>
      <c r="L50" s="1104"/>
      <c r="M50" s="1105"/>
    </row>
    <row r="51" spans="2:13" s="350" customFormat="1" ht="24" customHeight="1">
      <c r="B51" s="352"/>
      <c r="C51" s="391"/>
      <c r="D51" s="391"/>
      <c r="E51" s="391"/>
      <c r="F51" s="351"/>
      <c r="G51" s="1100" t="s">
        <v>541</v>
      </c>
      <c r="H51" s="1101"/>
      <c r="I51" s="1100" t="s">
        <v>1172</v>
      </c>
      <c r="J51" s="1102"/>
      <c r="K51" s="1104" t="s">
        <v>126</v>
      </c>
      <c r="L51" s="1104"/>
      <c r="M51" s="1106"/>
    </row>
    <row r="52" spans="7:13" s="350" customFormat="1" ht="24" customHeight="1">
      <c r="G52" s="1107"/>
      <c r="H52" s="1108"/>
      <c r="I52" s="1107" t="s">
        <v>1173</v>
      </c>
      <c r="J52" s="1102"/>
      <c r="K52" s="1107"/>
      <c r="L52" s="1107"/>
      <c r="M52" s="1107"/>
    </row>
    <row r="53" spans="1:13" s="350" customFormat="1" ht="24" customHeight="1">
      <c r="A53" s="397"/>
      <c r="B53" s="398"/>
      <c r="E53" s="412"/>
      <c r="F53" s="398"/>
      <c r="G53" s="394" t="s">
        <v>898</v>
      </c>
      <c r="H53" s="395"/>
      <c r="I53" s="394" t="s">
        <v>747</v>
      </c>
      <c r="J53" s="393"/>
      <c r="K53" s="394" t="s">
        <v>898</v>
      </c>
      <c r="L53" s="395"/>
      <c r="M53" s="394" t="s">
        <v>747</v>
      </c>
    </row>
    <row r="54" spans="1:13" s="350" customFormat="1" ht="24" customHeight="1">
      <c r="A54" s="397"/>
      <c r="B54" s="398"/>
      <c r="E54" s="396" t="s">
        <v>351</v>
      </c>
      <c r="G54" s="394"/>
      <c r="H54" s="395"/>
      <c r="I54" s="394"/>
      <c r="J54" s="393"/>
      <c r="K54" s="394"/>
      <c r="L54" s="395"/>
      <c r="M54" s="394"/>
    </row>
    <row r="55" spans="1:15" s="417" customFormat="1" ht="24" customHeight="1">
      <c r="A55" s="397" t="s">
        <v>56</v>
      </c>
      <c r="B55" s="1109" t="s">
        <v>695</v>
      </c>
      <c r="C55" s="350"/>
      <c r="D55" s="350"/>
      <c r="E55" s="392" t="s">
        <v>233</v>
      </c>
      <c r="F55" s="350"/>
      <c r="G55" s="398">
        <v>3105467.93</v>
      </c>
      <c r="H55" s="398"/>
      <c r="I55" s="398">
        <v>3128736.1500000004</v>
      </c>
      <c r="J55" s="398"/>
      <c r="K55" s="398">
        <v>3105467.93</v>
      </c>
      <c r="L55" s="400"/>
      <c r="M55" s="398">
        <v>3128736.1500000004</v>
      </c>
      <c r="O55" s="419"/>
    </row>
    <row r="56" spans="1:15" s="400" customFormat="1" ht="24" customHeight="1">
      <c r="A56" s="397" t="s">
        <v>57</v>
      </c>
      <c r="B56" s="1109" t="s">
        <v>696</v>
      </c>
      <c r="C56" s="350"/>
      <c r="D56" s="350"/>
      <c r="E56" s="404" t="s">
        <v>179</v>
      </c>
      <c r="F56" s="350"/>
      <c r="G56" s="398">
        <v>2153866.27</v>
      </c>
      <c r="H56" s="398"/>
      <c r="I56" s="398">
        <v>2134271.7199999997</v>
      </c>
      <c r="J56" s="398"/>
      <c r="K56" s="398">
        <v>2153866.27</v>
      </c>
      <c r="M56" s="398">
        <v>2134271.7199999997</v>
      </c>
      <c r="O56" s="419"/>
    </row>
    <row r="57" spans="1:15" s="400" customFormat="1" ht="24" customHeight="1">
      <c r="A57" s="397" t="s">
        <v>58</v>
      </c>
      <c r="B57" s="1109" t="s">
        <v>820</v>
      </c>
      <c r="C57" s="350"/>
      <c r="D57" s="350"/>
      <c r="E57" s="392" t="s">
        <v>179</v>
      </c>
      <c r="F57" s="350"/>
      <c r="G57" s="398">
        <v>4067350.35</v>
      </c>
      <c r="H57" s="398"/>
      <c r="I57" s="398">
        <v>3894553.76</v>
      </c>
      <c r="J57" s="398"/>
      <c r="K57" s="398">
        <v>4067350.35</v>
      </c>
      <c r="L57" s="398"/>
      <c r="M57" s="398">
        <v>3894553.76</v>
      </c>
      <c r="O57" s="419"/>
    </row>
    <row r="58" spans="1:13" s="400" customFormat="1" ht="24" customHeight="1">
      <c r="A58" s="397" t="s">
        <v>59</v>
      </c>
      <c r="B58" s="406" t="s">
        <v>697</v>
      </c>
      <c r="C58" s="350"/>
      <c r="D58" s="350"/>
      <c r="E58" s="389" t="s">
        <v>233</v>
      </c>
      <c r="F58" s="401"/>
      <c r="G58" s="398">
        <v>3712062.94</v>
      </c>
      <c r="H58" s="350"/>
      <c r="I58" s="398">
        <v>3394698.36</v>
      </c>
      <c r="J58" s="403"/>
      <c r="K58" s="398">
        <v>3712062.94</v>
      </c>
      <c r="L58" s="403"/>
      <c r="M58" s="398">
        <v>3394698.36</v>
      </c>
    </row>
    <row r="59" spans="1:13" s="400" customFormat="1" ht="24" customHeight="1">
      <c r="A59" s="397" t="s">
        <v>60</v>
      </c>
      <c r="B59" s="1109" t="s">
        <v>1643</v>
      </c>
      <c r="C59" s="350"/>
      <c r="D59" s="350"/>
      <c r="E59" s="389" t="s">
        <v>182</v>
      </c>
      <c r="F59" s="401"/>
      <c r="G59" s="398">
        <v>617664.65</v>
      </c>
      <c r="H59" s="350"/>
      <c r="I59" s="398">
        <v>615776.02</v>
      </c>
      <c r="J59" s="403"/>
      <c r="K59" s="398">
        <v>617664.65</v>
      </c>
      <c r="L59" s="403"/>
      <c r="M59" s="398">
        <v>615776.02</v>
      </c>
    </row>
    <row r="60" spans="1:13" ht="24" customHeight="1">
      <c r="A60" s="397" t="s">
        <v>61</v>
      </c>
      <c r="B60" s="1109" t="s">
        <v>698</v>
      </c>
      <c r="E60" s="393" t="s">
        <v>178</v>
      </c>
      <c r="G60" s="398">
        <v>628613.88</v>
      </c>
      <c r="I60" s="398">
        <v>642841.8999999999</v>
      </c>
      <c r="K60" s="398">
        <v>628613.88</v>
      </c>
      <c r="M60" s="398">
        <v>642841.8999999999</v>
      </c>
    </row>
    <row r="61" spans="1:13" ht="24" customHeight="1">
      <c r="A61" s="397" t="s">
        <v>62</v>
      </c>
      <c r="B61" s="1109" t="s">
        <v>1644</v>
      </c>
      <c r="E61" s="393" t="s">
        <v>817</v>
      </c>
      <c r="G61" s="398">
        <v>762785.17</v>
      </c>
      <c r="I61" s="398">
        <v>592338.2</v>
      </c>
      <c r="K61" s="398">
        <v>762785.17</v>
      </c>
      <c r="M61" s="398">
        <v>592338.2</v>
      </c>
    </row>
    <row r="62" spans="1:13" ht="24" customHeight="1">
      <c r="A62" s="397" t="s">
        <v>63</v>
      </c>
      <c r="B62" s="1109" t="s">
        <v>1645</v>
      </c>
      <c r="E62" s="306"/>
      <c r="F62" s="306"/>
      <c r="G62" s="398"/>
      <c r="H62" s="306"/>
      <c r="I62" s="306"/>
      <c r="J62" s="306"/>
      <c r="K62" s="398"/>
      <c r="L62" s="306"/>
      <c r="M62" s="306"/>
    </row>
    <row r="63" spans="2:13" ht="24" customHeight="1">
      <c r="B63" s="1109" t="s">
        <v>1646</v>
      </c>
      <c r="E63" s="393" t="s">
        <v>233</v>
      </c>
      <c r="G63" s="398">
        <v>21718028.34</v>
      </c>
      <c r="I63" s="398">
        <v>20566081.46</v>
      </c>
      <c r="K63" s="398">
        <v>21718028.34</v>
      </c>
      <c r="M63" s="398">
        <v>20566081.46</v>
      </c>
    </row>
    <row r="64" spans="1:13" ht="24" customHeight="1">
      <c r="A64" s="397" t="s">
        <v>64</v>
      </c>
      <c r="B64" s="350" t="s">
        <v>714</v>
      </c>
      <c r="E64" s="393" t="s">
        <v>178</v>
      </c>
      <c r="G64" s="398">
        <v>45305.08</v>
      </c>
      <c r="I64" s="398">
        <v>2175431.36</v>
      </c>
      <c r="K64" s="398">
        <v>45305.08</v>
      </c>
      <c r="M64" s="398">
        <v>2175431.36</v>
      </c>
    </row>
    <row r="65" spans="1:13" ht="24" customHeight="1">
      <c r="A65" s="397" t="s">
        <v>65</v>
      </c>
      <c r="B65" s="1109" t="s">
        <v>561</v>
      </c>
      <c r="E65" s="393" t="s">
        <v>178</v>
      </c>
      <c r="G65" s="398">
        <v>923188.52</v>
      </c>
      <c r="I65" s="398">
        <v>672585.34</v>
      </c>
      <c r="K65" s="398">
        <v>923188.52</v>
      </c>
      <c r="M65" s="398">
        <v>672585.34</v>
      </c>
    </row>
    <row r="66" spans="1:13" ht="24" customHeight="1">
      <c r="A66" s="397" t="s">
        <v>66</v>
      </c>
      <c r="B66" s="1109" t="s">
        <v>524</v>
      </c>
      <c r="E66" s="393" t="s">
        <v>233</v>
      </c>
      <c r="G66" s="398">
        <v>1607966.16</v>
      </c>
      <c r="I66" s="398">
        <v>1271817.35</v>
      </c>
      <c r="K66" s="398">
        <v>1607966.16</v>
      </c>
      <c r="M66" s="398">
        <v>1271817.35</v>
      </c>
    </row>
    <row r="67" spans="1:13" ht="24" customHeight="1">
      <c r="A67" s="397" t="s">
        <v>67</v>
      </c>
      <c r="B67" s="1109" t="s">
        <v>823</v>
      </c>
      <c r="E67" s="393" t="s">
        <v>824</v>
      </c>
      <c r="G67" s="398">
        <v>2947797.67</v>
      </c>
      <c r="I67" s="398">
        <v>2536851.8099999996</v>
      </c>
      <c r="K67" s="398">
        <v>2947797.67</v>
      </c>
      <c r="M67" s="398">
        <v>2536851.8099999996</v>
      </c>
    </row>
    <row r="68" spans="1:13" ht="24" customHeight="1">
      <c r="A68" s="397" t="s">
        <v>68</v>
      </c>
      <c r="B68" s="350" t="s">
        <v>825</v>
      </c>
      <c r="E68" s="393" t="s">
        <v>1305</v>
      </c>
      <c r="G68" s="398">
        <v>1697612.78</v>
      </c>
      <c r="I68" s="398">
        <v>1781827.6199999999</v>
      </c>
      <c r="K68" s="398">
        <v>1697612.78</v>
      </c>
      <c r="M68" s="398">
        <v>1781827.6199999999</v>
      </c>
    </row>
    <row r="69" spans="1:13" ht="24" customHeight="1">
      <c r="A69" s="397" t="s">
        <v>69</v>
      </c>
      <c r="B69" s="1109" t="s">
        <v>841</v>
      </c>
      <c r="E69" s="393" t="s">
        <v>233</v>
      </c>
      <c r="G69" s="398">
        <v>630096.88</v>
      </c>
      <c r="I69" s="398">
        <v>276529.01</v>
      </c>
      <c r="K69" s="398">
        <v>630096.88</v>
      </c>
      <c r="M69" s="398">
        <v>276529.01</v>
      </c>
    </row>
    <row r="70" spans="1:13" ht="24" customHeight="1">
      <c r="A70" s="397" t="s">
        <v>70</v>
      </c>
      <c r="B70" s="1109" t="s">
        <v>1647</v>
      </c>
      <c r="E70" s="393"/>
      <c r="G70" s="398"/>
      <c r="I70" s="398"/>
      <c r="K70" s="398"/>
      <c r="M70" s="398"/>
    </row>
    <row r="71" spans="1:13" ht="24" customHeight="1">
      <c r="A71" s="397"/>
      <c r="B71" s="1109" t="s">
        <v>1648</v>
      </c>
      <c r="E71" s="393" t="s">
        <v>817</v>
      </c>
      <c r="G71" s="398">
        <v>522032.03</v>
      </c>
      <c r="I71" s="398">
        <v>487436.01</v>
      </c>
      <c r="K71" s="398">
        <v>522032.03</v>
      </c>
      <c r="M71" s="398">
        <v>487436.01</v>
      </c>
    </row>
    <row r="72" spans="1:13" ht="24" customHeight="1">
      <c r="A72" s="397" t="s">
        <v>71</v>
      </c>
      <c r="B72" s="350" t="s">
        <v>826</v>
      </c>
      <c r="E72" s="393"/>
      <c r="G72" s="398">
        <v>4726120.469999999</v>
      </c>
      <c r="I72" s="398">
        <f>6085039.93+143829.66+39755.85-276529.01-487436.01</f>
        <v>5504660.42</v>
      </c>
      <c r="K72" s="398">
        <v>4726120.469999999</v>
      </c>
      <c r="M72" s="398">
        <f>6085039.93+143829.66+39755.85-276529.01-487436.01</f>
        <v>5504660.42</v>
      </c>
    </row>
    <row r="73" spans="2:13" ht="24" customHeight="1" thickBot="1">
      <c r="B73" s="423" t="s">
        <v>212</v>
      </c>
      <c r="C73" s="424"/>
      <c r="G73" s="408">
        <f>SUM(G14:G72)</f>
        <v>219155460.57</v>
      </c>
      <c r="I73" s="408">
        <f>SUM(I14:I72)</f>
        <v>172457582.5</v>
      </c>
      <c r="K73" s="408">
        <f>SUM(K14:K72)</f>
        <v>212815614.91</v>
      </c>
      <c r="M73" s="408">
        <f>SUM(M14:M72)</f>
        <v>172457582.5</v>
      </c>
    </row>
    <row r="74" spans="7:13" ht="24" customHeight="1" thickTop="1">
      <c r="G74" s="398"/>
      <c r="I74" s="398"/>
      <c r="K74" s="398"/>
      <c r="M74" s="398"/>
    </row>
    <row r="75" spans="1:18" s="400" customFormat="1" ht="24" customHeight="1">
      <c r="A75" s="388" t="s">
        <v>1771</v>
      </c>
      <c r="B75" s="387"/>
      <c r="C75" s="387"/>
      <c r="D75" s="387"/>
      <c r="E75" s="387"/>
      <c r="F75" s="387"/>
      <c r="G75" s="1099"/>
      <c r="H75" s="387"/>
      <c r="I75" s="387"/>
      <c r="J75" s="387"/>
      <c r="K75" s="387"/>
      <c r="L75" s="387"/>
      <c r="M75" s="387"/>
      <c r="R75" s="399"/>
    </row>
    <row r="76" spans="1:18" ht="24" customHeight="1">
      <c r="A76" s="409"/>
      <c r="B76" s="400" t="s">
        <v>1638</v>
      </c>
      <c r="C76" s="350" t="s">
        <v>1891</v>
      </c>
      <c r="G76" s="401"/>
      <c r="I76" s="398"/>
      <c r="J76" s="392"/>
      <c r="K76" s="398"/>
      <c r="L76" s="402"/>
      <c r="M76" s="398"/>
      <c r="R76" s="416"/>
    </row>
    <row r="77" spans="1:18" ht="24" customHeight="1">
      <c r="A77" s="306" t="s">
        <v>1650</v>
      </c>
      <c r="B77" s="306"/>
      <c r="C77" s="306"/>
      <c r="D77" s="306"/>
      <c r="E77" s="389"/>
      <c r="F77" s="389"/>
      <c r="G77" s="389"/>
      <c r="H77" s="410"/>
      <c r="I77" s="411"/>
      <c r="J77" s="411"/>
      <c r="K77" s="411"/>
      <c r="L77" s="411"/>
      <c r="M77" s="411"/>
      <c r="R77" s="416"/>
    </row>
    <row r="78" spans="1:13" s="350" customFormat="1" ht="24" customHeight="1">
      <c r="A78" s="350" t="s">
        <v>372</v>
      </c>
      <c r="K78" s="306"/>
      <c r="L78" s="306"/>
      <c r="M78" s="390" t="s">
        <v>214</v>
      </c>
    </row>
    <row r="79" spans="2:13" s="350" customFormat="1" ht="24" customHeight="1">
      <c r="B79" s="352"/>
      <c r="C79" s="391"/>
      <c r="D79" s="391"/>
      <c r="E79" s="391"/>
      <c r="F79" s="351"/>
      <c r="G79" s="1100"/>
      <c r="H79" s="1101"/>
      <c r="I79" s="1100" t="s">
        <v>1171</v>
      </c>
      <c r="J79" s="1102"/>
      <c r="K79" s="1103"/>
      <c r="L79" s="1104"/>
      <c r="M79" s="1105"/>
    </row>
    <row r="80" spans="2:13" s="350" customFormat="1" ht="24" customHeight="1">
      <c r="B80" s="352"/>
      <c r="C80" s="391"/>
      <c r="D80" s="391"/>
      <c r="E80" s="391"/>
      <c r="F80" s="351"/>
      <c r="G80" s="1100" t="s">
        <v>541</v>
      </c>
      <c r="H80" s="1101"/>
      <c r="I80" s="1100" t="s">
        <v>1172</v>
      </c>
      <c r="J80" s="1102"/>
      <c r="K80" s="1104" t="s">
        <v>126</v>
      </c>
      <c r="L80" s="1104"/>
      <c r="M80" s="1106"/>
    </row>
    <row r="81" spans="1:13" s="350" customFormat="1" ht="24" customHeight="1">
      <c r="A81" s="397"/>
      <c r="B81" s="398"/>
      <c r="E81" s="412"/>
      <c r="F81" s="398"/>
      <c r="G81" s="1107"/>
      <c r="H81" s="1108"/>
      <c r="I81" s="1107" t="s">
        <v>1173</v>
      </c>
      <c r="J81" s="1102"/>
      <c r="K81" s="1107"/>
      <c r="L81" s="1107"/>
      <c r="M81" s="1107"/>
    </row>
    <row r="82" spans="1:13" s="350" customFormat="1" ht="24" customHeight="1">
      <c r="A82" s="397"/>
      <c r="B82" s="398"/>
      <c r="E82" s="412"/>
      <c r="F82" s="398"/>
      <c r="G82" s="394" t="s">
        <v>898</v>
      </c>
      <c r="H82" s="395"/>
      <c r="I82" s="394" t="s">
        <v>747</v>
      </c>
      <c r="J82" s="393"/>
      <c r="K82" s="394" t="s">
        <v>898</v>
      </c>
      <c r="L82" s="395"/>
      <c r="M82" s="394" t="s">
        <v>747</v>
      </c>
    </row>
    <row r="83" spans="1:5" s="350" customFormat="1" ht="24" customHeight="1">
      <c r="A83" s="397"/>
      <c r="B83" s="398"/>
      <c r="E83" s="396" t="s">
        <v>351</v>
      </c>
    </row>
    <row r="84" spans="1:16" s="400" customFormat="1" ht="24" customHeight="1">
      <c r="A84" s="397" t="s">
        <v>669</v>
      </c>
      <c r="B84" s="1109" t="s">
        <v>672</v>
      </c>
      <c r="C84" s="350"/>
      <c r="D84" s="350"/>
      <c r="E84" s="392" t="s">
        <v>178</v>
      </c>
      <c r="F84" s="398"/>
      <c r="G84" s="398">
        <v>1376329.3</v>
      </c>
      <c r="H84" s="350"/>
      <c r="I84" s="398">
        <v>0</v>
      </c>
      <c r="J84" s="392"/>
      <c r="K84" s="398">
        <v>1376329.3</v>
      </c>
      <c r="L84" s="350"/>
      <c r="M84" s="398">
        <v>0</v>
      </c>
      <c r="N84" s="399"/>
      <c r="P84" s="419"/>
    </row>
    <row r="85" spans="1:16" s="400" customFormat="1" ht="24" customHeight="1">
      <c r="A85" s="397"/>
      <c r="B85" s="1109" t="s">
        <v>1640</v>
      </c>
      <c r="C85" s="350"/>
      <c r="D85" s="350"/>
      <c r="E85" s="392"/>
      <c r="F85" s="398"/>
      <c r="G85" s="398"/>
      <c r="H85" s="350"/>
      <c r="I85" s="398"/>
      <c r="J85" s="392"/>
      <c r="K85" s="398"/>
      <c r="L85" s="350"/>
      <c r="M85" s="398"/>
      <c r="N85" s="399"/>
      <c r="P85" s="419"/>
    </row>
    <row r="86" spans="1:16" s="417" customFormat="1" ht="24" customHeight="1">
      <c r="A86" s="397" t="s">
        <v>671</v>
      </c>
      <c r="B86" s="1109" t="s">
        <v>838</v>
      </c>
      <c r="C86" s="350"/>
      <c r="D86" s="350"/>
      <c r="E86" s="393" t="s">
        <v>178</v>
      </c>
      <c r="F86" s="401"/>
      <c r="G86" s="398">
        <v>36477311.91</v>
      </c>
      <c r="H86" s="350"/>
      <c r="I86" s="398">
        <v>0</v>
      </c>
      <c r="J86" s="403"/>
      <c r="K86" s="398">
        <v>36477311.91</v>
      </c>
      <c r="L86" s="350"/>
      <c r="M86" s="398">
        <v>0</v>
      </c>
      <c r="N86" s="421"/>
      <c r="P86" s="419"/>
    </row>
    <row r="87" spans="1:16" s="417" customFormat="1" ht="24" customHeight="1">
      <c r="A87" s="397"/>
      <c r="B87" s="1109"/>
      <c r="C87" s="350"/>
      <c r="D87" s="350"/>
      <c r="E87" s="393"/>
      <c r="F87" s="401"/>
      <c r="G87" s="398"/>
      <c r="H87" s="350"/>
      <c r="I87" s="398"/>
      <c r="J87" s="403"/>
      <c r="K87" s="398"/>
      <c r="L87" s="350"/>
      <c r="M87" s="398"/>
      <c r="N87" s="421"/>
      <c r="P87" s="419"/>
    </row>
    <row r="88" spans="1:13" s="1052" customFormat="1" ht="24" customHeight="1">
      <c r="A88" s="1009" t="s">
        <v>1649</v>
      </c>
      <c r="B88" s="1009"/>
      <c r="C88" s="1009"/>
      <c r="D88" s="1009"/>
      <c r="E88" s="1009"/>
      <c r="F88" s="1009"/>
      <c r="G88" s="1009"/>
      <c r="H88" s="1009"/>
      <c r="I88" s="1009"/>
      <c r="J88" s="1009"/>
      <c r="K88" s="1111"/>
      <c r="L88" s="1111"/>
      <c r="M88" s="1111"/>
    </row>
    <row r="89" spans="1:13" s="596" customFormat="1" ht="24" customHeight="1">
      <c r="A89" s="1029" t="s">
        <v>424</v>
      </c>
      <c r="B89" s="1029"/>
      <c r="C89" s="1029"/>
      <c r="D89" s="1029"/>
      <c r="E89" s="1029"/>
      <c r="F89" s="1029"/>
      <c r="G89" s="1029"/>
      <c r="H89" s="1029"/>
      <c r="I89" s="1029"/>
      <c r="J89" s="1029"/>
      <c r="K89" s="1110"/>
      <c r="L89" s="1110"/>
      <c r="M89" s="1110"/>
    </row>
    <row r="90" spans="1:13" ht="24" customHeight="1">
      <c r="A90" s="1098"/>
      <c r="B90" s="1098"/>
      <c r="C90" s="1098"/>
      <c r="D90" s="1098"/>
      <c r="E90" s="1098"/>
      <c r="F90" s="1098"/>
      <c r="G90" s="1098"/>
      <c r="H90" s="1098"/>
      <c r="I90" s="1098"/>
      <c r="J90" s="1098"/>
      <c r="K90" s="1098"/>
      <c r="L90" s="1098"/>
      <c r="M90" s="1098"/>
    </row>
    <row r="91" spans="1:13" s="350" customFormat="1" ht="26.25" customHeight="1">
      <c r="A91" s="1031" t="s">
        <v>1769</v>
      </c>
      <c r="B91" s="387"/>
      <c r="C91" s="387"/>
      <c r="D91" s="387"/>
      <c r="E91" s="387"/>
      <c r="F91" s="387"/>
      <c r="G91" s="387"/>
      <c r="H91" s="387"/>
      <c r="I91" s="387"/>
      <c r="J91" s="387"/>
      <c r="K91" s="387"/>
      <c r="L91" s="387"/>
      <c r="M91" s="387"/>
    </row>
    <row r="92" spans="1:18" s="400" customFormat="1" ht="26.25" customHeight="1">
      <c r="A92" s="388" t="s">
        <v>1774</v>
      </c>
      <c r="B92" s="387"/>
      <c r="C92" s="387"/>
      <c r="D92" s="387"/>
      <c r="E92" s="387"/>
      <c r="F92" s="387"/>
      <c r="G92" s="387"/>
      <c r="H92" s="387"/>
      <c r="I92" s="387"/>
      <c r="J92" s="387"/>
      <c r="K92" s="387"/>
      <c r="L92" s="387"/>
      <c r="M92" s="387"/>
      <c r="R92" s="399"/>
    </row>
    <row r="93" spans="1:13" s="350" customFormat="1" ht="26.25" customHeight="1">
      <c r="A93" s="350" t="s">
        <v>372</v>
      </c>
      <c r="K93" s="306"/>
      <c r="L93" s="306"/>
      <c r="M93" s="390" t="s">
        <v>214</v>
      </c>
    </row>
    <row r="94" spans="2:13" s="350" customFormat="1" ht="26.25" customHeight="1">
      <c r="B94" s="352"/>
      <c r="C94" s="391"/>
      <c r="D94" s="391"/>
      <c r="E94" s="391"/>
      <c r="F94" s="351"/>
      <c r="G94" s="1100"/>
      <c r="H94" s="1101"/>
      <c r="I94" s="1100" t="s">
        <v>1171</v>
      </c>
      <c r="J94" s="1102"/>
      <c r="K94" s="1103"/>
      <c r="L94" s="1104"/>
      <c r="M94" s="1105"/>
    </row>
    <row r="95" spans="2:13" s="350" customFormat="1" ht="26.25" customHeight="1">
      <c r="B95" s="352"/>
      <c r="C95" s="391"/>
      <c r="D95" s="391"/>
      <c r="E95" s="391"/>
      <c r="F95" s="351"/>
      <c r="G95" s="1100" t="s">
        <v>541</v>
      </c>
      <c r="H95" s="1101"/>
      <c r="I95" s="1100" t="s">
        <v>1172</v>
      </c>
      <c r="J95" s="1102"/>
      <c r="K95" s="1104" t="s">
        <v>126</v>
      </c>
      <c r="L95" s="1104"/>
      <c r="M95" s="1106"/>
    </row>
    <row r="96" spans="1:13" s="350" customFormat="1" ht="26.25" customHeight="1">
      <c r="A96" s="397"/>
      <c r="B96" s="398"/>
      <c r="E96" s="412"/>
      <c r="F96" s="398"/>
      <c r="G96" s="1107"/>
      <c r="H96" s="1108"/>
      <c r="I96" s="1107" t="s">
        <v>1173</v>
      </c>
      <c r="J96" s="1102"/>
      <c r="K96" s="1107"/>
      <c r="L96" s="1107"/>
      <c r="M96" s="1107"/>
    </row>
    <row r="97" spans="1:13" s="350" customFormat="1" ht="26.25" customHeight="1">
      <c r="A97" s="397"/>
      <c r="B97" s="398"/>
      <c r="E97" s="412"/>
      <c r="F97" s="398"/>
      <c r="G97" s="394" t="s">
        <v>898</v>
      </c>
      <c r="H97" s="395"/>
      <c r="I97" s="394" t="s">
        <v>747</v>
      </c>
      <c r="J97" s="393"/>
      <c r="K97" s="394" t="s">
        <v>898</v>
      </c>
      <c r="L97" s="395"/>
      <c r="M97" s="394" t="s">
        <v>747</v>
      </c>
    </row>
    <row r="98" spans="1:5" s="350" customFormat="1" ht="26.25" customHeight="1">
      <c r="A98" s="397"/>
      <c r="B98" s="398"/>
      <c r="E98" s="396" t="s">
        <v>351</v>
      </c>
    </row>
    <row r="99" spans="1:16" s="400" customFormat="1" ht="26.25" customHeight="1">
      <c r="A99" s="397" t="s">
        <v>673</v>
      </c>
      <c r="B99" s="1109" t="s">
        <v>701</v>
      </c>
      <c r="C99" s="405"/>
      <c r="D99" s="405"/>
      <c r="E99" s="393" t="s">
        <v>182</v>
      </c>
      <c r="F99" s="397"/>
      <c r="G99" s="398">
        <v>3226484.25</v>
      </c>
      <c r="H99" s="350"/>
      <c r="I99" s="398">
        <v>0</v>
      </c>
      <c r="J99" s="403"/>
      <c r="K99" s="398">
        <v>3226484.25</v>
      </c>
      <c r="L99" s="350"/>
      <c r="M99" s="398">
        <v>0</v>
      </c>
      <c r="N99" s="399"/>
      <c r="P99" s="419"/>
    </row>
    <row r="100" spans="1:16" s="400" customFormat="1" ht="26.25" customHeight="1">
      <c r="A100" s="397" t="s">
        <v>675</v>
      </c>
      <c r="B100" s="1109" t="s">
        <v>1651</v>
      </c>
      <c r="C100" s="389"/>
      <c r="D100" s="389"/>
      <c r="E100" s="393" t="s">
        <v>233</v>
      </c>
      <c r="F100" s="401"/>
      <c r="G100" s="398">
        <v>7348624.69</v>
      </c>
      <c r="H100" s="350"/>
      <c r="I100" s="398">
        <v>0</v>
      </c>
      <c r="J100" s="403"/>
      <c r="K100" s="398">
        <v>7348624.69</v>
      </c>
      <c r="L100" s="350"/>
      <c r="M100" s="398">
        <v>0</v>
      </c>
      <c r="N100" s="399"/>
      <c r="P100" s="419"/>
    </row>
    <row r="101" spans="1:16" s="400" customFormat="1" ht="26.25" customHeight="1">
      <c r="A101" s="397" t="s">
        <v>677</v>
      </c>
      <c r="B101" s="1109" t="s">
        <v>32</v>
      </c>
      <c r="C101" s="350"/>
      <c r="D101" s="350"/>
      <c r="E101" s="392" t="s">
        <v>233</v>
      </c>
      <c r="F101" s="398"/>
      <c r="G101" s="398">
        <v>3247164.59</v>
      </c>
      <c r="H101" s="350"/>
      <c r="I101" s="398">
        <v>0</v>
      </c>
      <c r="J101" s="398"/>
      <c r="K101" s="398">
        <v>3247164.59</v>
      </c>
      <c r="L101" s="350"/>
      <c r="M101" s="398">
        <v>0</v>
      </c>
      <c r="N101" s="399"/>
      <c r="P101" s="419"/>
    </row>
    <row r="102" spans="1:13" ht="26.25" customHeight="1">
      <c r="A102" s="397" t="s">
        <v>678</v>
      </c>
      <c r="B102" s="398" t="s">
        <v>717</v>
      </c>
      <c r="E102" s="393" t="s">
        <v>817</v>
      </c>
      <c r="G102" s="398">
        <v>1320038.85</v>
      </c>
      <c r="I102" s="398">
        <v>0</v>
      </c>
      <c r="K102" s="398">
        <v>1320038.85</v>
      </c>
      <c r="M102" s="398">
        <v>0</v>
      </c>
    </row>
    <row r="103" spans="1:13" ht="26.25" customHeight="1">
      <c r="A103" s="397" t="s">
        <v>680</v>
      </c>
      <c r="B103" s="398" t="s">
        <v>89</v>
      </c>
      <c r="E103" s="393" t="s">
        <v>179</v>
      </c>
      <c r="G103" s="398">
        <v>2199207.03</v>
      </c>
      <c r="I103" s="398">
        <v>0</v>
      </c>
      <c r="K103" s="398">
        <v>2199207.03</v>
      </c>
      <c r="M103" s="398">
        <v>0</v>
      </c>
    </row>
    <row r="104" spans="1:13" ht="26.25" customHeight="1">
      <c r="A104" s="397" t="s">
        <v>30</v>
      </c>
      <c r="B104" s="398" t="s">
        <v>700</v>
      </c>
      <c r="E104" s="393" t="s">
        <v>817</v>
      </c>
      <c r="G104" s="398">
        <v>677391.54</v>
      </c>
      <c r="I104" s="398">
        <v>0</v>
      </c>
      <c r="K104" s="398">
        <v>677391.54</v>
      </c>
      <c r="M104" s="398">
        <v>0</v>
      </c>
    </row>
    <row r="105" spans="1:13" ht="26.25" customHeight="1">
      <c r="A105" s="397" t="s">
        <v>39</v>
      </c>
      <c r="B105" s="398" t="s">
        <v>1652</v>
      </c>
      <c r="E105" s="393" t="s">
        <v>178</v>
      </c>
      <c r="G105" s="398">
        <v>25886356.44</v>
      </c>
      <c r="I105" s="398">
        <v>0</v>
      </c>
      <c r="K105" s="398">
        <v>25886356.44</v>
      </c>
      <c r="M105" s="398">
        <v>0</v>
      </c>
    </row>
    <row r="106" spans="1:13" ht="26.25" customHeight="1">
      <c r="A106" s="397" t="s">
        <v>42</v>
      </c>
      <c r="B106" s="398" t="s">
        <v>1654</v>
      </c>
      <c r="E106" s="393" t="s">
        <v>824</v>
      </c>
      <c r="G106" s="398">
        <v>596253.63</v>
      </c>
      <c r="I106" s="398">
        <v>0</v>
      </c>
      <c r="K106" s="398">
        <v>596253.63</v>
      </c>
      <c r="M106" s="398">
        <v>0</v>
      </c>
    </row>
    <row r="107" spans="1:13" ht="26.25" customHeight="1">
      <c r="A107" s="397" t="s">
        <v>43</v>
      </c>
      <c r="B107" s="1109" t="s">
        <v>826</v>
      </c>
      <c r="E107" s="393"/>
      <c r="G107" s="398">
        <v>459479.36</v>
      </c>
      <c r="I107" s="398">
        <v>0</v>
      </c>
      <c r="K107" s="398">
        <v>459479.36</v>
      </c>
      <c r="M107" s="398">
        <v>0</v>
      </c>
    </row>
    <row r="108" spans="2:13" ht="26.25" customHeight="1" thickBot="1">
      <c r="B108" s="423" t="s">
        <v>212</v>
      </c>
      <c r="C108" s="424"/>
      <c r="G108" s="408">
        <f>SUM(G84:G107)</f>
        <v>82814641.58999999</v>
      </c>
      <c r="I108" s="408">
        <f>SUM(I84:I107)</f>
        <v>0</v>
      </c>
      <c r="K108" s="408">
        <f>SUM(K84:K107)</f>
        <v>82814641.58999999</v>
      </c>
      <c r="M108" s="408">
        <f>SUM(M84:M107)</f>
        <v>0</v>
      </c>
    </row>
    <row r="109" spans="1:13" ht="26.25" customHeight="1" thickTop="1">
      <c r="A109" s="306"/>
      <c r="B109" s="306"/>
      <c r="C109" s="306"/>
      <c r="D109" s="306"/>
      <c r="E109" s="306"/>
      <c r="F109" s="306"/>
      <c r="G109" s="398"/>
      <c r="K109" s="398"/>
      <c r="L109" s="306"/>
      <c r="M109" s="306"/>
    </row>
    <row r="110" spans="1:18" s="400" customFormat="1" ht="26.25" customHeight="1">
      <c r="A110" s="388" t="s">
        <v>1773</v>
      </c>
      <c r="B110" s="387"/>
      <c r="C110" s="387"/>
      <c r="D110" s="387"/>
      <c r="E110" s="1099"/>
      <c r="F110" s="387"/>
      <c r="G110" s="387"/>
      <c r="H110" s="387"/>
      <c r="I110" s="387"/>
      <c r="J110" s="387"/>
      <c r="K110" s="387"/>
      <c r="L110" s="387"/>
      <c r="M110" s="387"/>
      <c r="R110" s="399"/>
    </row>
    <row r="111" spans="1:18" ht="26.25" customHeight="1">
      <c r="A111" s="409"/>
      <c r="B111" s="400" t="s">
        <v>1638</v>
      </c>
      <c r="C111" s="350" t="s">
        <v>1655</v>
      </c>
      <c r="G111" s="401"/>
      <c r="I111" s="398"/>
      <c r="J111" s="392"/>
      <c r="K111" s="398"/>
      <c r="L111" s="402"/>
      <c r="M111" s="398"/>
      <c r="R111" s="416"/>
    </row>
    <row r="112" spans="1:18" ht="26.25" customHeight="1">
      <c r="A112" s="306" t="s">
        <v>1882</v>
      </c>
      <c r="B112" s="306"/>
      <c r="C112" s="306"/>
      <c r="D112" s="306"/>
      <c r="E112" s="389"/>
      <c r="F112" s="389"/>
      <c r="G112" s="389"/>
      <c r="H112" s="410"/>
      <c r="I112" s="411"/>
      <c r="J112" s="411"/>
      <c r="K112" s="411"/>
      <c r="L112" s="411"/>
      <c r="M112" s="411"/>
      <c r="R112" s="416"/>
    </row>
    <row r="113" spans="1:18" ht="26.25" customHeight="1">
      <c r="A113" s="306" t="s">
        <v>1881</v>
      </c>
      <c r="B113" s="389"/>
      <c r="C113" s="306"/>
      <c r="D113" s="306"/>
      <c r="E113" s="389"/>
      <c r="F113" s="389"/>
      <c r="G113" s="389"/>
      <c r="H113" s="410"/>
      <c r="I113" s="411"/>
      <c r="J113" s="411"/>
      <c r="K113" s="411"/>
      <c r="L113" s="411"/>
      <c r="M113" s="411"/>
      <c r="R113" s="416"/>
    </row>
    <row r="114" spans="1:13" s="350" customFormat="1" ht="26.25" customHeight="1">
      <c r="A114" s="350" t="s">
        <v>372</v>
      </c>
      <c r="K114" s="306"/>
      <c r="L114" s="306"/>
      <c r="M114" s="390" t="s">
        <v>214</v>
      </c>
    </row>
    <row r="115" spans="2:13" s="350" customFormat="1" ht="26.25" customHeight="1">
      <c r="B115" s="352"/>
      <c r="C115" s="391"/>
      <c r="D115" s="391"/>
      <c r="E115" s="391"/>
      <c r="F115" s="351"/>
      <c r="G115" s="1100"/>
      <c r="H115" s="1101"/>
      <c r="I115" s="1100" t="s">
        <v>1171</v>
      </c>
      <c r="J115" s="1102"/>
      <c r="K115" s="1103"/>
      <c r="L115" s="1104"/>
      <c r="M115" s="1105"/>
    </row>
    <row r="116" spans="2:13" s="350" customFormat="1" ht="26.25" customHeight="1">
      <c r="B116" s="352"/>
      <c r="C116" s="391"/>
      <c r="D116" s="391"/>
      <c r="E116" s="391"/>
      <c r="F116" s="351"/>
      <c r="G116" s="1100" t="s">
        <v>541</v>
      </c>
      <c r="H116" s="1101"/>
      <c r="I116" s="1100" t="s">
        <v>1172</v>
      </c>
      <c r="J116" s="1102"/>
      <c r="K116" s="1104" t="s">
        <v>126</v>
      </c>
      <c r="L116" s="1104"/>
      <c r="M116" s="1106"/>
    </row>
    <row r="117" spans="7:13" s="350" customFormat="1" ht="26.25" customHeight="1">
      <c r="G117" s="1107"/>
      <c r="H117" s="1108"/>
      <c r="I117" s="1107" t="s">
        <v>1173</v>
      </c>
      <c r="J117" s="1102"/>
      <c r="K117" s="1107"/>
      <c r="L117" s="1107"/>
      <c r="M117" s="1107"/>
    </row>
    <row r="118" spans="1:13" s="350" customFormat="1" ht="26.25" customHeight="1">
      <c r="A118" s="397"/>
      <c r="B118" s="398"/>
      <c r="E118" s="412"/>
      <c r="F118" s="398"/>
      <c r="G118" s="394" t="s">
        <v>898</v>
      </c>
      <c r="H118" s="395"/>
      <c r="I118" s="394" t="s">
        <v>747</v>
      </c>
      <c r="J118" s="393"/>
      <c r="K118" s="394" t="s">
        <v>898</v>
      </c>
      <c r="L118" s="395"/>
      <c r="M118" s="394" t="s">
        <v>747</v>
      </c>
    </row>
    <row r="119" spans="1:13" s="350" customFormat="1" ht="26.25" customHeight="1">
      <c r="A119" s="397"/>
      <c r="B119" s="398"/>
      <c r="E119" s="396" t="s">
        <v>351</v>
      </c>
      <c r="G119" s="394"/>
      <c r="H119" s="395"/>
      <c r="I119" s="394"/>
      <c r="J119" s="393"/>
      <c r="K119" s="394"/>
      <c r="L119" s="395"/>
      <c r="M119" s="394"/>
    </row>
    <row r="120" spans="1:16" s="400" customFormat="1" ht="26.25" customHeight="1">
      <c r="A120" s="397" t="s">
        <v>669</v>
      </c>
      <c r="B120" s="398" t="s">
        <v>701</v>
      </c>
      <c r="C120" s="350"/>
      <c r="D120" s="350"/>
      <c r="E120" s="393" t="s">
        <v>182</v>
      </c>
      <c r="F120" s="350"/>
      <c r="G120" s="398">
        <v>8533562.040000001</v>
      </c>
      <c r="H120" s="398"/>
      <c r="I120" s="398">
        <v>5452590.92</v>
      </c>
      <c r="J120" s="398"/>
      <c r="K120" s="398">
        <v>8533562.040000001</v>
      </c>
      <c r="L120" s="398"/>
      <c r="M120" s="398">
        <v>5452590.92</v>
      </c>
      <c r="N120" s="399"/>
      <c r="P120" s="419"/>
    </row>
    <row r="121" spans="1:16" s="400" customFormat="1" ht="26.25" customHeight="1">
      <c r="A121" s="397" t="s">
        <v>671</v>
      </c>
      <c r="B121" s="1109" t="s">
        <v>702</v>
      </c>
      <c r="C121" s="350"/>
      <c r="D121" s="350"/>
      <c r="E121" s="401" t="s">
        <v>233</v>
      </c>
      <c r="G121" s="398">
        <v>139397506.23999998</v>
      </c>
      <c r="I121" s="398">
        <v>136524364.23000002</v>
      </c>
      <c r="J121" s="398"/>
      <c r="K121" s="398">
        <v>139397506.23999998</v>
      </c>
      <c r="L121" s="398"/>
      <c r="M121" s="398">
        <v>136524364.23000002</v>
      </c>
      <c r="N121" s="399"/>
      <c r="P121" s="419"/>
    </row>
    <row r="122" spans="1:16" s="400" customFormat="1" ht="26.25" customHeight="1">
      <c r="A122" s="397" t="s">
        <v>673</v>
      </c>
      <c r="B122" s="1109" t="s">
        <v>699</v>
      </c>
      <c r="C122" s="350"/>
      <c r="D122" s="350"/>
      <c r="E122" s="392" t="s">
        <v>233</v>
      </c>
      <c r="F122" s="350"/>
      <c r="G122" s="398">
        <v>32606511.48</v>
      </c>
      <c r="H122" s="350"/>
      <c r="I122" s="398">
        <v>5326720.720000001</v>
      </c>
      <c r="J122" s="398"/>
      <c r="K122" s="398">
        <v>32606511.48</v>
      </c>
      <c r="L122" s="398"/>
      <c r="M122" s="398">
        <v>5326720.720000001</v>
      </c>
      <c r="N122" s="399"/>
      <c r="P122" s="419"/>
    </row>
    <row r="123" spans="1:16" s="417" customFormat="1" ht="26.25" customHeight="1">
      <c r="A123" s="397" t="s">
        <v>675</v>
      </c>
      <c r="B123" s="1109" t="s">
        <v>700</v>
      </c>
      <c r="C123" s="350"/>
      <c r="D123" s="350"/>
      <c r="E123" s="393" t="s">
        <v>817</v>
      </c>
      <c r="F123" s="350"/>
      <c r="G123" s="398">
        <v>6626636.230000001</v>
      </c>
      <c r="H123" s="350"/>
      <c r="I123" s="398">
        <v>14557458.62</v>
      </c>
      <c r="J123" s="398"/>
      <c r="K123" s="398">
        <v>6626636.230000001</v>
      </c>
      <c r="L123" s="398"/>
      <c r="M123" s="398">
        <v>14557458.62</v>
      </c>
      <c r="N123" s="421"/>
      <c r="P123" s="419"/>
    </row>
    <row r="124" spans="1:16" s="400" customFormat="1" ht="26.25" customHeight="1">
      <c r="A124" s="397" t="s">
        <v>677</v>
      </c>
      <c r="B124" s="398" t="s">
        <v>826</v>
      </c>
      <c r="C124" s="350"/>
      <c r="D124" s="350"/>
      <c r="E124" s="392"/>
      <c r="F124" s="350"/>
      <c r="G124" s="398">
        <f>1372137.09+108254.44</f>
        <v>1480391.53</v>
      </c>
      <c r="H124" s="350"/>
      <c r="I124" s="398">
        <v>1229070.4699999988</v>
      </c>
      <c r="J124" s="398"/>
      <c r="K124" s="398">
        <v>1372137.09</v>
      </c>
      <c r="L124" s="398"/>
      <c r="M124" s="398">
        <v>1229070.4699999988</v>
      </c>
      <c r="N124" s="399"/>
      <c r="P124" s="419"/>
    </row>
    <row r="125" spans="2:13" ht="26.25" customHeight="1" thickBot="1">
      <c r="B125" s="423" t="s">
        <v>212</v>
      </c>
      <c r="C125" s="424"/>
      <c r="G125" s="408">
        <f>SUM(G120:G124)</f>
        <v>188644607.51999995</v>
      </c>
      <c r="I125" s="408">
        <f>SUM(I120:I124)</f>
        <v>163090204.96</v>
      </c>
      <c r="K125" s="408">
        <f>SUM(K120:K124)</f>
        <v>188536353.07999995</v>
      </c>
      <c r="M125" s="408">
        <f>SUM(M120:M124)</f>
        <v>163090204.96</v>
      </c>
    </row>
    <row r="126" spans="2:13" ht="21.75" thickTop="1">
      <c r="B126" s="423"/>
      <c r="C126" s="424"/>
      <c r="G126" s="398"/>
      <c r="I126" s="398"/>
      <c r="K126" s="398"/>
      <c r="M126" s="398"/>
    </row>
    <row r="127" spans="2:13" ht="21">
      <c r="B127" s="423"/>
      <c r="C127" s="424"/>
      <c r="G127" s="398"/>
      <c r="I127" s="398"/>
      <c r="K127" s="398"/>
      <c r="M127" s="398"/>
    </row>
    <row r="128" spans="1:13" ht="24" customHeight="1">
      <c r="A128" s="306"/>
      <c r="B128" s="306"/>
      <c r="C128" s="306"/>
      <c r="D128" s="306"/>
      <c r="E128" s="306"/>
      <c r="F128" s="306"/>
      <c r="G128" s="398"/>
      <c r="K128" s="398"/>
      <c r="L128" s="306"/>
      <c r="M128" s="306"/>
    </row>
    <row r="129" spans="1:13" s="1052" customFormat="1" ht="24" customHeight="1">
      <c r="A129" s="1009" t="s">
        <v>1649</v>
      </c>
      <c r="B129" s="1009"/>
      <c r="C129" s="1009"/>
      <c r="D129" s="1009"/>
      <c r="E129" s="1009"/>
      <c r="F129" s="1009"/>
      <c r="G129" s="1009"/>
      <c r="H129" s="1009"/>
      <c r="I129" s="1009"/>
      <c r="J129" s="1009"/>
      <c r="K129" s="1111"/>
      <c r="L129" s="1111"/>
      <c r="M129" s="1111"/>
    </row>
    <row r="130" spans="1:13" s="596" customFormat="1" ht="24" customHeight="1">
      <c r="A130" s="1029" t="s">
        <v>29</v>
      </c>
      <c r="B130" s="1029"/>
      <c r="C130" s="1029"/>
      <c r="D130" s="1029"/>
      <c r="E130" s="1029"/>
      <c r="F130" s="1029"/>
      <c r="G130" s="1029"/>
      <c r="H130" s="1029"/>
      <c r="I130" s="1029"/>
      <c r="J130" s="1029"/>
      <c r="K130" s="1110"/>
      <c r="L130" s="1110"/>
      <c r="M130" s="1110"/>
    </row>
    <row r="131" spans="1:13" ht="24" customHeight="1">
      <c r="A131" s="1098"/>
      <c r="B131" s="1098"/>
      <c r="C131" s="1098"/>
      <c r="D131" s="1098"/>
      <c r="E131" s="1098"/>
      <c r="F131" s="1098"/>
      <c r="G131" s="1098"/>
      <c r="H131" s="1098"/>
      <c r="I131" s="1098"/>
      <c r="J131" s="1098"/>
      <c r="K131" s="1098"/>
      <c r="L131" s="1098"/>
      <c r="M131" s="1098"/>
    </row>
    <row r="132" spans="1:13" s="350" customFormat="1" ht="24" customHeight="1">
      <c r="A132" s="1031" t="s">
        <v>1769</v>
      </c>
      <c r="B132" s="387"/>
      <c r="C132" s="387"/>
      <c r="D132" s="387"/>
      <c r="E132" s="387"/>
      <c r="F132" s="387"/>
      <c r="G132" s="387"/>
      <c r="H132" s="387"/>
      <c r="I132" s="387"/>
      <c r="J132" s="387"/>
      <c r="K132" s="387"/>
      <c r="L132" s="387"/>
      <c r="M132" s="387"/>
    </row>
    <row r="133" spans="1:18" s="400" customFormat="1" ht="24" customHeight="1" thickTop="1">
      <c r="A133" s="388" t="s">
        <v>1775</v>
      </c>
      <c r="B133" s="387"/>
      <c r="C133" s="387"/>
      <c r="D133" s="387"/>
      <c r="E133" s="1099"/>
      <c r="F133" s="387"/>
      <c r="G133" s="387"/>
      <c r="H133" s="387"/>
      <c r="I133" s="387"/>
      <c r="J133" s="387"/>
      <c r="K133" s="387"/>
      <c r="L133" s="387"/>
      <c r="M133" s="387"/>
      <c r="R133" s="399"/>
    </row>
    <row r="134" spans="1:18" ht="24" customHeight="1">
      <c r="A134" s="409"/>
      <c r="B134" s="400" t="s">
        <v>1638</v>
      </c>
      <c r="C134" s="350" t="s">
        <v>1656</v>
      </c>
      <c r="G134" s="401"/>
      <c r="I134" s="398"/>
      <c r="J134" s="392"/>
      <c r="K134" s="398"/>
      <c r="L134" s="402"/>
      <c r="M134" s="398"/>
      <c r="R134" s="416"/>
    </row>
    <row r="135" spans="1:18" ht="24" customHeight="1">
      <c r="A135" s="306" t="s">
        <v>1883</v>
      </c>
      <c r="B135" s="306"/>
      <c r="C135" s="306"/>
      <c r="D135" s="306"/>
      <c r="E135" s="389"/>
      <c r="F135" s="389"/>
      <c r="G135" s="389"/>
      <c r="H135" s="410"/>
      <c r="I135" s="411"/>
      <c r="J135" s="411"/>
      <c r="K135" s="411"/>
      <c r="L135" s="411"/>
      <c r="M135" s="411"/>
      <c r="R135" s="416"/>
    </row>
    <row r="136" spans="1:18" ht="24" customHeight="1">
      <c r="A136" s="306" t="s">
        <v>1650</v>
      </c>
      <c r="B136" s="389"/>
      <c r="C136" s="306"/>
      <c r="D136" s="306"/>
      <c r="E136" s="389"/>
      <c r="F136" s="389"/>
      <c r="G136" s="389"/>
      <c r="H136" s="410"/>
      <c r="I136" s="411"/>
      <c r="J136" s="411"/>
      <c r="K136" s="411"/>
      <c r="L136" s="411"/>
      <c r="M136" s="411"/>
      <c r="R136" s="416"/>
    </row>
    <row r="137" spans="1:13" s="350" customFormat="1" ht="24" customHeight="1">
      <c r="A137" s="350" t="s">
        <v>372</v>
      </c>
      <c r="K137" s="306"/>
      <c r="L137" s="306"/>
      <c r="M137" s="390" t="s">
        <v>214</v>
      </c>
    </row>
    <row r="138" spans="2:13" s="350" customFormat="1" ht="24" customHeight="1">
      <c r="B138" s="352"/>
      <c r="C138" s="391"/>
      <c r="D138" s="391"/>
      <c r="E138" s="391"/>
      <c r="F138" s="351"/>
      <c r="G138" s="1100"/>
      <c r="H138" s="1101"/>
      <c r="I138" s="1100" t="s">
        <v>1171</v>
      </c>
      <c r="J138" s="1102"/>
      <c r="K138" s="1103"/>
      <c r="L138" s="1104"/>
      <c r="M138" s="1105"/>
    </row>
    <row r="139" spans="2:13" s="350" customFormat="1" ht="24" customHeight="1">
      <c r="B139" s="352"/>
      <c r="C139" s="391"/>
      <c r="D139" s="391"/>
      <c r="E139" s="391"/>
      <c r="F139" s="351"/>
      <c r="G139" s="1100" t="s">
        <v>541</v>
      </c>
      <c r="H139" s="1101"/>
      <c r="I139" s="1100" t="s">
        <v>1172</v>
      </c>
      <c r="J139" s="1102"/>
      <c r="K139" s="1104" t="s">
        <v>126</v>
      </c>
      <c r="L139" s="1104"/>
      <c r="M139" s="1106"/>
    </row>
    <row r="140" spans="7:13" s="350" customFormat="1" ht="24" customHeight="1">
      <c r="G140" s="1107"/>
      <c r="H140" s="1108"/>
      <c r="I140" s="1107" t="s">
        <v>1173</v>
      </c>
      <c r="J140" s="1102"/>
      <c r="K140" s="1107"/>
      <c r="L140" s="1107"/>
      <c r="M140" s="1107"/>
    </row>
    <row r="141" spans="1:13" s="350" customFormat="1" ht="24" customHeight="1">
      <c r="A141" s="397"/>
      <c r="B141" s="398"/>
      <c r="E141" s="412"/>
      <c r="F141" s="398"/>
      <c r="G141" s="394" t="s">
        <v>898</v>
      </c>
      <c r="H141" s="395"/>
      <c r="I141" s="394" t="s">
        <v>747</v>
      </c>
      <c r="J141" s="393"/>
      <c r="K141" s="394" t="s">
        <v>898</v>
      </c>
      <c r="L141" s="395"/>
      <c r="M141" s="394" t="s">
        <v>747</v>
      </c>
    </row>
    <row r="142" spans="1:13" s="350" customFormat="1" ht="24" customHeight="1">
      <c r="A142" s="397"/>
      <c r="B142" s="398"/>
      <c r="E142" s="396" t="s">
        <v>351</v>
      </c>
      <c r="G142" s="394"/>
      <c r="H142" s="395"/>
      <c r="I142" s="394"/>
      <c r="J142" s="393"/>
      <c r="K142" s="394"/>
      <c r="L142" s="395"/>
      <c r="M142" s="394"/>
    </row>
    <row r="143" spans="1:13" ht="24" customHeight="1">
      <c r="A143" s="397" t="s">
        <v>669</v>
      </c>
      <c r="B143" s="1109" t="s">
        <v>811</v>
      </c>
      <c r="E143" s="393"/>
      <c r="G143" s="398"/>
      <c r="H143" s="398"/>
      <c r="I143" s="398"/>
      <c r="J143" s="398"/>
      <c r="K143" s="398"/>
      <c r="L143" s="398"/>
      <c r="M143" s="398"/>
    </row>
    <row r="144" spans="1:13" ht="24" customHeight="1">
      <c r="A144" s="397"/>
      <c r="B144" s="1109" t="s">
        <v>812</v>
      </c>
      <c r="E144" s="401" t="s">
        <v>178</v>
      </c>
      <c r="F144" s="400"/>
      <c r="G144" s="398">
        <v>4492120</v>
      </c>
      <c r="H144" s="400"/>
      <c r="I144" s="398">
        <v>4492120</v>
      </c>
      <c r="J144" s="398"/>
      <c r="K144" s="398">
        <v>4492120</v>
      </c>
      <c r="L144" s="398"/>
      <c r="M144" s="398">
        <v>4492120</v>
      </c>
    </row>
    <row r="145" spans="1:13" ht="24" customHeight="1">
      <c r="A145" s="397" t="s">
        <v>671</v>
      </c>
      <c r="B145" s="1109" t="s">
        <v>679</v>
      </c>
      <c r="E145" s="392" t="s">
        <v>178</v>
      </c>
      <c r="G145" s="398">
        <v>578911.53</v>
      </c>
      <c r="I145" s="398">
        <v>596494.13</v>
      </c>
      <c r="J145" s="398"/>
      <c r="K145" s="398">
        <v>578911.53</v>
      </c>
      <c r="L145" s="398"/>
      <c r="M145" s="398">
        <v>596494.13</v>
      </c>
    </row>
    <row r="146" spans="1:13" ht="24" customHeight="1">
      <c r="A146" s="397" t="s">
        <v>673</v>
      </c>
      <c r="B146" s="1109" t="s">
        <v>814</v>
      </c>
      <c r="E146" s="393" t="s">
        <v>178</v>
      </c>
      <c r="G146" s="398">
        <v>0</v>
      </c>
      <c r="I146" s="398">
        <v>1976400</v>
      </c>
      <c r="J146" s="398"/>
      <c r="K146" s="398">
        <v>0</v>
      </c>
      <c r="L146" s="398"/>
      <c r="M146" s="398">
        <v>1976400</v>
      </c>
    </row>
    <row r="147" spans="1:13" ht="24" customHeight="1">
      <c r="A147" s="397" t="s">
        <v>675</v>
      </c>
      <c r="B147" s="1109" t="s">
        <v>685</v>
      </c>
      <c r="E147" s="393" t="s">
        <v>233</v>
      </c>
      <c r="G147" s="398">
        <v>6240008.09</v>
      </c>
      <c r="I147" s="398">
        <v>6066260.45</v>
      </c>
      <c r="J147" s="398"/>
      <c r="K147" s="398">
        <v>6240008.09</v>
      </c>
      <c r="L147" s="398"/>
      <c r="M147" s="398">
        <v>6066260.45</v>
      </c>
    </row>
    <row r="148" spans="1:13" ht="24" customHeight="1">
      <c r="A148" s="397" t="s">
        <v>677</v>
      </c>
      <c r="B148" s="1109" t="s">
        <v>691</v>
      </c>
      <c r="E148" s="393" t="s">
        <v>228</v>
      </c>
      <c r="G148" s="398">
        <v>656100</v>
      </c>
      <c r="I148" s="398">
        <v>656100</v>
      </c>
      <c r="J148" s="398"/>
      <c r="K148" s="398">
        <v>656100</v>
      </c>
      <c r="L148" s="398"/>
      <c r="M148" s="398">
        <v>656100</v>
      </c>
    </row>
    <row r="149" spans="1:13" ht="24" customHeight="1">
      <c r="A149" s="397" t="s">
        <v>678</v>
      </c>
      <c r="B149" s="1109" t="s">
        <v>689</v>
      </c>
      <c r="E149" s="393" t="s">
        <v>233</v>
      </c>
      <c r="G149" s="398">
        <v>6206960</v>
      </c>
      <c r="I149" s="398">
        <v>6206960</v>
      </c>
      <c r="J149" s="398"/>
      <c r="K149" s="398">
        <v>6206960</v>
      </c>
      <c r="L149" s="398"/>
      <c r="M149" s="398">
        <v>6206960</v>
      </c>
    </row>
    <row r="150" spans="1:13" ht="24" customHeight="1">
      <c r="A150" s="397" t="s">
        <v>680</v>
      </c>
      <c r="B150" s="1109" t="s">
        <v>698</v>
      </c>
      <c r="E150" s="393" t="s">
        <v>178</v>
      </c>
      <c r="G150" s="398">
        <v>7198275</v>
      </c>
      <c r="I150" s="398">
        <v>7198275</v>
      </c>
      <c r="J150" s="398"/>
      <c r="K150" s="398">
        <v>7198275</v>
      </c>
      <c r="L150" s="398"/>
      <c r="M150" s="398">
        <v>7198275</v>
      </c>
    </row>
    <row r="151" spans="1:13" ht="24" customHeight="1">
      <c r="A151" s="397" t="s">
        <v>30</v>
      </c>
      <c r="B151" s="1109" t="s">
        <v>1643</v>
      </c>
      <c r="E151" s="393" t="s">
        <v>182</v>
      </c>
      <c r="G151" s="398">
        <v>1539399</v>
      </c>
      <c r="I151" s="398">
        <v>1539399</v>
      </c>
      <c r="J151" s="398"/>
      <c r="K151" s="398">
        <v>1539399</v>
      </c>
      <c r="L151" s="398"/>
      <c r="M151" s="398">
        <v>1539399</v>
      </c>
    </row>
    <row r="152" spans="1:13" ht="24" customHeight="1">
      <c r="A152" s="397" t="s">
        <v>39</v>
      </c>
      <c r="B152" s="1109" t="s">
        <v>717</v>
      </c>
      <c r="E152" s="393" t="s">
        <v>817</v>
      </c>
      <c r="G152" s="398">
        <v>1167010</v>
      </c>
      <c r="I152" s="398">
        <v>1167000</v>
      </c>
      <c r="J152" s="398"/>
      <c r="K152" s="398">
        <v>1167010</v>
      </c>
      <c r="L152" s="398"/>
      <c r="M152" s="398">
        <v>1167000</v>
      </c>
    </row>
    <row r="153" spans="1:13" ht="24" customHeight="1">
      <c r="A153" s="397" t="s">
        <v>42</v>
      </c>
      <c r="B153" s="1109" t="s">
        <v>734</v>
      </c>
      <c r="E153" s="393" t="s">
        <v>228</v>
      </c>
      <c r="G153" s="398">
        <v>1603800</v>
      </c>
      <c r="I153" s="398">
        <v>1603800</v>
      </c>
      <c r="J153" s="398"/>
      <c r="K153" s="398">
        <v>1603800</v>
      </c>
      <c r="L153" s="398"/>
      <c r="M153" s="398">
        <v>1603800</v>
      </c>
    </row>
    <row r="154" spans="1:13" ht="24" customHeight="1">
      <c r="A154" s="397" t="s">
        <v>43</v>
      </c>
      <c r="B154" s="1109" t="s">
        <v>697</v>
      </c>
      <c r="E154" s="393" t="s">
        <v>233</v>
      </c>
      <c r="G154" s="398">
        <v>1305618.3</v>
      </c>
      <c r="I154" s="398">
        <v>994578.3</v>
      </c>
      <c r="J154" s="398"/>
      <c r="K154" s="398">
        <v>1305618.3</v>
      </c>
      <c r="L154" s="398"/>
      <c r="M154" s="398">
        <v>994578.3</v>
      </c>
    </row>
    <row r="155" spans="1:13" ht="24" customHeight="1">
      <c r="A155" s="397" t="s">
        <v>44</v>
      </c>
      <c r="B155" s="1109" t="s">
        <v>523</v>
      </c>
      <c r="E155" s="393" t="s">
        <v>182</v>
      </c>
      <c r="G155" s="398">
        <v>1024400</v>
      </c>
      <c r="I155" s="398">
        <v>1024400</v>
      </c>
      <c r="J155" s="398"/>
      <c r="K155" s="398">
        <v>1024400</v>
      </c>
      <c r="L155" s="398"/>
      <c r="M155" s="398">
        <v>1024400</v>
      </c>
    </row>
    <row r="156" spans="1:13" ht="24" customHeight="1">
      <c r="A156" s="397" t="s">
        <v>45</v>
      </c>
      <c r="B156" s="1109" t="s">
        <v>827</v>
      </c>
      <c r="E156" s="393" t="s">
        <v>233</v>
      </c>
      <c r="G156" s="398">
        <v>510040</v>
      </c>
      <c r="I156" s="398">
        <v>510040</v>
      </c>
      <c r="J156" s="398"/>
      <c r="K156" s="398">
        <v>510040</v>
      </c>
      <c r="L156" s="398"/>
      <c r="M156" s="398">
        <v>510040</v>
      </c>
    </row>
    <row r="157" spans="1:13" ht="24" customHeight="1">
      <c r="A157" s="397" t="s">
        <v>46</v>
      </c>
      <c r="B157" s="1109" t="s">
        <v>524</v>
      </c>
      <c r="E157" s="393" t="s">
        <v>233</v>
      </c>
      <c r="G157" s="398">
        <v>15403093.75</v>
      </c>
      <c r="I157" s="398">
        <v>17442718.75</v>
      </c>
      <c r="J157" s="398"/>
      <c r="K157" s="398">
        <v>15403093.75</v>
      </c>
      <c r="L157" s="398"/>
      <c r="M157" s="398">
        <v>17442718.75</v>
      </c>
    </row>
    <row r="158" spans="1:13" ht="24" customHeight="1">
      <c r="A158" s="397" t="s">
        <v>47</v>
      </c>
      <c r="B158" s="1109" t="s">
        <v>821</v>
      </c>
      <c r="E158" s="393"/>
      <c r="G158" s="398"/>
      <c r="I158" s="398"/>
      <c r="J158" s="398"/>
      <c r="K158" s="398"/>
      <c r="L158" s="398"/>
      <c r="M158" s="398"/>
    </row>
    <row r="159" spans="1:13" ht="24" customHeight="1">
      <c r="A159" s="397"/>
      <c r="B159" s="1109" t="s">
        <v>822</v>
      </c>
      <c r="E159" s="393" t="s">
        <v>233</v>
      </c>
      <c r="G159" s="398">
        <v>900000</v>
      </c>
      <c r="I159" s="398">
        <v>900000</v>
      </c>
      <c r="J159" s="398"/>
      <c r="K159" s="398">
        <v>900000</v>
      </c>
      <c r="L159" s="398"/>
      <c r="M159" s="398">
        <v>900000</v>
      </c>
    </row>
    <row r="160" spans="1:13" ht="24" customHeight="1">
      <c r="A160" s="397" t="s">
        <v>48</v>
      </c>
      <c r="B160" s="1109" t="s">
        <v>818</v>
      </c>
      <c r="E160" s="401" t="s">
        <v>228</v>
      </c>
      <c r="G160" s="398">
        <v>72391529.75</v>
      </c>
      <c r="I160" s="398">
        <v>16263.12</v>
      </c>
      <c r="J160" s="398"/>
      <c r="K160" s="398">
        <v>72391529.75</v>
      </c>
      <c r="L160" s="398"/>
      <c r="M160" s="398">
        <v>16263.12</v>
      </c>
    </row>
    <row r="161" spans="1:13" ht="24" customHeight="1">
      <c r="A161" s="397" t="s">
        <v>49</v>
      </c>
      <c r="B161" s="1109" t="s">
        <v>695</v>
      </c>
      <c r="E161" s="392" t="s">
        <v>233</v>
      </c>
      <c r="G161" s="398">
        <v>29925553.49</v>
      </c>
      <c r="I161" s="398">
        <v>39386.82</v>
      </c>
      <c r="J161" s="398"/>
      <c r="K161" s="398">
        <v>29925553.49</v>
      </c>
      <c r="L161" s="398"/>
      <c r="M161" s="398">
        <v>39386.82</v>
      </c>
    </row>
    <row r="162" spans="1:13" ht="24" customHeight="1">
      <c r="A162" s="397" t="s">
        <v>50</v>
      </c>
      <c r="B162" s="398" t="s">
        <v>676</v>
      </c>
      <c r="E162" s="392" t="s">
        <v>178</v>
      </c>
      <c r="G162" s="398">
        <v>3879040</v>
      </c>
      <c r="I162" s="398">
        <v>4000</v>
      </c>
      <c r="J162" s="398"/>
      <c r="K162" s="398">
        <v>3879040</v>
      </c>
      <c r="L162" s="398"/>
      <c r="M162" s="398">
        <v>4000</v>
      </c>
    </row>
    <row r="163" spans="1:13" ht="24" customHeight="1">
      <c r="A163" s="397" t="s">
        <v>51</v>
      </c>
      <c r="B163" s="398" t="s">
        <v>1657</v>
      </c>
      <c r="E163" s="392" t="s">
        <v>233</v>
      </c>
      <c r="G163" s="398">
        <v>1047957.5</v>
      </c>
      <c r="I163" s="398">
        <v>0</v>
      </c>
      <c r="J163" s="398"/>
      <c r="K163" s="398">
        <v>1047957.5</v>
      </c>
      <c r="L163" s="398"/>
      <c r="M163" s="398">
        <v>0</v>
      </c>
    </row>
    <row r="164" spans="1:13" ht="24" customHeight="1">
      <c r="A164" s="397" t="s">
        <v>52</v>
      </c>
      <c r="B164" s="398" t="s">
        <v>841</v>
      </c>
      <c r="E164" s="392" t="s">
        <v>233</v>
      </c>
      <c r="G164" s="398">
        <v>644000</v>
      </c>
      <c r="I164" s="398">
        <v>0</v>
      </c>
      <c r="J164" s="398"/>
      <c r="K164" s="398">
        <v>644000</v>
      </c>
      <c r="L164" s="398"/>
      <c r="M164" s="398">
        <v>0</v>
      </c>
    </row>
    <row r="165" spans="1:13" ht="24" customHeight="1">
      <c r="A165" s="397" t="s">
        <v>53</v>
      </c>
      <c r="B165" s="1109" t="s">
        <v>826</v>
      </c>
      <c r="E165" s="393"/>
      <c r="G165" s="398">
        <v>4499486.129999995</v>
      </c>
      <c r="I165" s="398">
        <f>3511854.02+430500+433897.31-4000-39386.82-16263.12</f>
        <v>4316601.39</v>
      </c>
      <c r="J165" s="398"/>
      <c r="K165" s="398">
        <v>4499486.129999995</v>
      </c>
      <c r="L165" s="398"/>
      <c r="M165" s="398">
        <f>3511854.02+430500+433897.31-4000-39386.82-16263.12</f>
        <v>4316601.39</v>
      </c>
    </row>
    <row r="166" spans="1:13" ht="24" customHeight="1" thickBot="1">
      <c r="A166" s="306"/>
      <c r="B166" s="423" t="s">
        <v>212</v>
      </c>
      <c r="C166" s="424"/>
      <c r="D166" s="306"/>
      <c r="E166" s="306"/>
      <c r="F166" s="306"/>
      <c r="G166" s="408">
        <f>SUM(G144:G165)</f>
        <v>161213302.54</v>
      </c>
      <c r="I166" s="408">
        <f>SUM(I144:I165)</f>
        <v>56750796.95999999</v>
      </c>
      <c r="K166" s="408">
        <f>SUM(K144:K165)</f>
        <v>161213302.54</v>
      </c>
      <c r="M166" s="408">
        <f>SUM(M144:M165)</f>
        <v>56750796.95999999</v>
      </c>
    </row>
    <row r="167" spans="1:13" ht="24" customHeight="1" thickTop="1">
      <c r="A167" s="306"/>
      <c r="B167" s="306"/>
      <c r="C167" s="306"/>
      <c r="D167" s="306"/>
      <c r="E167" s="306"/>
      <c r="F167" s="306"/>
      <c r="G167" s="398"/>
      <c r="K167" s="398"/>
      <c r="L167" s="306"/>
      <c r="M167" s="306"/>
    </row>
    <row r="168" spans="1:13" ht="24" customHeight="1">
      <c r="A168" s="306"/>
      <c r="B168" s="306"/>
      <c r="C168" s="306"/>
      <c r="D168" s="306"/>
      <c r="E168" s="306"/>
      <c r="F168" s="306"/>
      <c r="G168" s="398"/>
      <c r="K168" s="398"/>
      <c r="L168" s="306"/>
      <c r="M168" s="306"/>
    </row>
    <row r="169" spans="1:13" ht="24" customHeight="1">
      <c r="A169" s="306"/>
      <c r="B169" s="306"/>
      <c r="C169" s="306"/>
      <c r="D169" s="306"/>
      <c r="E169" s="306"/>
      <c r="F169" s="306"/>
      <c r="G169" s="398"/>
      <c r="K169" s="398"/>
      <c r="L169" s="306"/>
      <c r="M169" s="306"/>
    </row>
    <row r="170" spans="1:13" ht="24" customHeight="1">
      <c r="A170" s="306"/>
      <c r="B170" s="306"/>
      <c r="C170" s="306"/>
      <c r="D170" s="306"/>
      <c r="E170" s="306"/>
      <c r="F170" s="306"/>
      <c r="G170" s="398"/>
      <c r="K170" s="398"/>
      <c r="L170" s="306"/>
      <c r="M170" s="306"/>
    </row>
    <row r="171" spans="1:13" s="1052" customFormat="1" ht="24" customHeight="1">
      <c r="A171" s="1009" t="s">
        <v>1649</v>
      </c>
      <c r="B171" s="1009"/>
      <c r="C171" s="1009"/>
      <c r="D171" s="1009"/>
      <c r="E171" s="1009"/>
      <c r="F171" s="1009"/>
      <c r="G171" s="1009"/>
      <c r="H171" s="1009"/>
      <c r="I171" s="1009"/>
      <c r="J171" s="1009"/>
      <c r="K171" s="1111"/>
      <c r="L171" s="1111"/>
      <c r="M171" s="1111"/>
    </row>
    <row r="172" spans="1:13" s="1052" customFormat="1" ht="24" customHeight="1">
      <c r="A172" s="1009"/>
      <c r="B172" s="1009"/>
      <c r="C172" s="1009"/>
      <c r="D172" s="1009"/>
      <c r="E172" s="1009"/>
      <c r="F172" s="1009"/>
      <c r="G172" s="1009"/>
      <c r="H172" s="1009"/>
      <c r="I172" s="1009"/>
      <c r="J172" s="1009"/>
      <c r="K172" s="1111"/>
      <c r="L172" s="1111"/>
      <c r="M172" s="1111"/>
    </row>
    <row r="173" spans="1:13" s="1052" customFormat="1" ht="24" customHeight="1">
      <c r="A173" s="1009"/>
      <c r="B173" s="1009"/>
      <c r="C173" s="1009"/>
      <c r="D173" s="1009"/>
      <c r="E173" s="1009"/>
      <c r="F173" s="1009"/>
      <c r="G173" s="1009"/>
      <c r="H173" s="1009"/>
      <c r="I173" s="1009"/>
      <c r="J173" s="1009"/>
      <c r="K173" s="1111"/>
      <c r="L173" s="1111"/>
      <c r="M173" s="1111"/>
    </row>
    <row r="174" spans="1:13" s="596" customFormat="1" ht="24" customHeight="1">
      <c r="A174" s="1029" t="s">
        <v>425</v>
      </c>
      <c r="B174" s="1029"/>
      <c r="C174" s="1029"/>
      <c r="D174" s="1029"/>
      <c r="E174" s="1029"/>
      <c r="F174" s="1029"/>
      <c r="G174" s="1029"/>
      <c r="H174" s="1029"/>
      <c r="I174" s="1029"/>
      <c r="J174" s="1029"/>
      <c r="K174" s="1110"/>
      <c r="L174" s="1110"/>
      <c r="M174" s="1110"/>
    </row>
    <row r="175" spans="1:13" ht="24" customHeight="1">
      <c r="A175" s="1098"/>
      <c r="B175" s="1098"/>
      <c r="C175" s="1098"/>
      <c r="D175" s="1098"/>
      <c r="E175" s="1098"/>
      <c r="F175" s="1098"/>
      <c r="G175" s="1098"/>
      <c r="H175" s="1098"/>
      <c r="I175" s="1098"/>
      <c r="J175" s="1098"/>
      <c r="K175" s="1098"/>
      <c r="L175" s="1098"/>
      <c r="M175" s="1098"/>
    </row>
    <row r="176" spans="1:13" s="350" customFormat="1" ht="24" customHeight="1" thickTop="1">
      <c r="A176" s="1031" t="s">
        <v>1769</v>
      </c>
      <c r="B176" s="387"/>
      <c r="C176" s="387"/>
      <c r="D176" s="387"/>
      <c r="E176" s="387"/>
      <c r="F176" s="387"/>
      <c r="G176" s="387"/>
      <c r="H176" s="387"/>
      <c r="I176" s="387"/>
      <c r="J176" s="387"/>
      <c r="K176" s="387"/>
      <c r="L176" s="387"/>
      <c r="M176" s="387"/>
    </row>
    <row r="177" spans="1:18" s="400" customFormat="1" ht="24" customHeight="1">
      <c r="A177" s="388" t="s">
        <v>1776</v>
      </c>
      <c r="B177" s="387"/>
      <c r="C177" s="387"/>
      <c r="D177" s="387"/>
      <c r="E177" s="1099"/>
      <c r="F177" s="387"/>
      <c r="G177" s="387"/>
      <c r="H177" s="387"/>
      <c r="I177" s="387"/>
      <c r="J177" s="387"/>
      <c r="K177" s="387"/>
      <c r="L177" s="387"/>
      <c r="M177" s="387"/>
      <c r="R177" s="399"/>
    </row>
    <row r="178" spans="1:18" ht="24" customHeight="1">
      <c r="A178" s="409"/>
      <c r="B178" s="400" t="s">
        <v>1638</v>
      </c>
      <c r="C178" s="350" t="s">
        <v>1884</v>
      </c>
      <c r="G178" s="401"/>
      <c r="I178" s="398"/>
      <c r="J178" s="392"/>
      <c r="K178" s="398"/>
      <c r="L178" s="402"/>
      <c r="M178" s="398"/>
      <c r="R178" s="416"/>
    </row>
    <row r="179" spans="1:18" ht="24" customHeight="1">
      <c r="A179" s="306" t="s">
        <v>1912</v>
      </c>
      <c r="B179" s="306"/>
      <c r="C179" s="306"/>
      <c r="D179" s="306"/>
      <c r="E179" s="389"/>
      <c r="F179" s="389"/>
      <c r="G179" s="389"/>
      <c r="H179" s="410"/>
      <c r="I179" s="411"/>
      <c r="J179" s="411"/>
      <c r="K179" s="411"/>
      <c r="L179" s="411"/>
      <c r="M179" s="411"/>
      <c r="R179" s="416"/>
    </row>
    <row r="180" spans="1:18" ht="24" customHeight="1">
      <c r="A180" s="306" t="s">
        <v>1885</v>
      </c>
      <c r="B180" s="389"/>
      <c r="C180" s="306"/>
      <c r="D180" s="306"/>
      <c r="E180" s="389"/>
      <c r="F180" s="389"/>
      <c r="G180" s="389"/>
      <c r="H180" s="410"/>
      <c r="I180" s="411"/>
      <c r="J180" s="411"/>
      <c r="K180" s="411"/>
      <c r="L180" s="411"/>
      <c r="M180" s="411"/>
      <c r="R180" s="416"/>
    </row>
    <row r="181" spans="1:13" s="350" customFormat="1" ht="24" customHeight="1">
      <c r="A181" s="350" t="s">
        <v>372</v>
      </c>
      <c r="K181" s="306"/>
      <c r="L181" s="306"/>
      <c r="M181" s="390" t="s">
        <v>214</v>
      </c>
    </row>
    <row r="182" spans="2:13" s="350" customFormat="1" ht="24" customHeight="1">
      <c r="B182" s="352"/>
      <c r="D182" s="391"/>
      <c r="E182" s="391"/>
      <c r="F182" s="351"/>
      <c r="G182" s="499"/>
      <c r="H182" s="500"/>
      <c r="I182" s="499" t="s">
        <v>1171</v>
      </c>
      <c r="J182" s="501"/>
      <c r="K182" s="502"/>
      <c r="L182" s="503"/>
      <c r="M182" s="504"/>
    </row>
    <row r="183" spans="2:13" s="350" customFormat="1" ht="24" customHeight="1">
      <c r="B183" s="352"/>
      <c r="C183" s="391"/>
      <c r="D183" s="391"/>
      <c r="E183" s="391"/>
      <c r="F183" s="351"/>
      <c r="G183" s="499" t="s">
        <v>541</v>
      </c>
      <c r="H183" s="500"/>
      <c r="I183" s="499" t="s">
        <v>1172</v>
      </c>
      <c r="J183" s="501"/>
      <c r="K183" s="1033" t="s">
        <v>126</v>
      </c>
      <c r="L183" s="503"/>
      <c r="M183" s="506"/>
    </row>
    <row r="184" spans="7:13" s="350" customFormat="1" ht="24" customHeight="1">
      <c r="G184" s="507"/>
      <c r="H184" s="1043"/>
      <c r="I184" s="507" t="s">
        <v>1173</v>
      </c>
      <c r="J184" s="501"/>
      <c r="K184" s="507"/>
      <c r="L184" s="507"/>
      <c r="M184" s="507"/>
    </row>
    <row r="185" spans="1:13" s="350" customFormat="1" ht="24" customHeight="1">
      <c r="A185" s="397"/>
      <c r="B185" s="398"/>
      <c r="E185" s="412"/>
      <c r="F185" s="398"/>
      <c r="G185" s="394" t="s">
        <v>898</v>
      </c>
      <c r="H185" s="395"/>
      <c r="I185" s="394" t="s">
        <v>747</v>
      </c>
      <c r="J185" s="393"/>
      <c r="K185" s="394" t="s">
        <v>898</v>
      </c>
      <c r="L185" s="395"/>
      <c r="M185" s="394" t="s">
        <v>747</v>
      </c>
    </row>
    <row r="186" spans="1:13" s="350" customFormat="1" ht="24" customHeight="1">
      <c r="A186" s="397"/>
      <c r="B186" s="398"/>
      <c r="E186" s="396" t="s">
        <v>351</v>
      </c>
      <c r="G186" s="394"/>
      <c r="H186" s="395"/>
      <c r="I186" s="394"/>
      <c r="J186" s="393"/>
      <c r="K186" s="394"/>
      <c r="L186" s="395"/>
      <c r="M186" s="394"/>
    </row>
    <row r="187" spans="1:16" s="400" customFormat="1" ht="24" customHeight="1">
      <c r="A187" s="397" t="s">
        <v>669</v>
      </c>
      <c r="B187" s="1109" t="s">
        <v>670</v>
      </c>
      <c r="C187" s="350"/>
      <c r="D187" s="350"/>
      <c r="E187" s="401" t="s">
        <v>179</v>
      </c>
      <c r="F187" s="398"/>
      <c r="G187" s="398">
        <v>44771406.629999995</v>
      </c>
      <c r="H187" s="398"/>
      <c r="I187" s="398">
        <v>43169196.56999999</v>
      </c>
      <c r="J187" s="398"/>
      <c r="K187" s="398">
        <v>68759103.63</v>
      </c>
      <c r="L187" s="398"/>
      <c r="M187" s="398">
        <v>64334811.56999999</v>
      </c>
      <c r="N187" s="399"/>
      <c r="O187" s="419"/>
      <c r="P187" s="419"/>
    </row>
    <row r="188" spans="1:16" s="400" customFormat="1" ht="24" customHeight="1">
      <c r="A188" s="397" t="s">
        <v>671</v>
      </c>
      <c r="B188" s="1109" t="s">
        <v>672</v>
      </c>
      <c r="C188" s="350"/>
      <c r="D188" s="350"/>
      <c r="E188" s="401"/>
      <c r="F188" s="398"/>
      <c r="H188" s="398"/>
      <c r="I188" s="398"/>
      <c r="J188" s="392"/>
      <c r="L188" s="398"/>
      <c r="M188" s="398"/>
      <c r="N188" s="399"/>
      <c r="P188" s="419"/>
    </row>
    <row r="189" spans="1:16" s="400" customFormat="1" ht="24" customHeight="1">
      <c r="A189" s="397"/>
      <c r="B189" s="1109" t="s">
        <v>1658</v>
      </c>
      <c r="C189" s="350"/>
      <c r="D189" s="350"/>
      <c r="E189" s="415" t="s">
        <v>178</v>
      </c>
      <c r="F189" s="398"/>
      <c r="G189" s="350">
        <v>140601507.16</v>
      </c>
      <c r="H189" s="350"/>
      <c r="I189" s="398">
        <v>175866918.68</v>
      </c>
      <c r="J189" s="403"/>
      <c r="K189" s="398">
        <v>339727813.56</v>
      </c>
      <c r="L189" s="403"/>
      <c r="M189" s="398">
        <v>363195605.48</v>
      </c>
      <c r="N189" s="399"/>
      <c r="P189" s="419"/>
    </row>
    <row r="190" spans="1:16" s="400" customFormat="1" ht="24" customHeight="1">
      <c r="A190" s="397" t="s">
        <v>673</v>
      </c>
      <c r="B190" s="1109" t="s">
        <v>672</v>
      </c>
      <c r="C190" s="350"/>
      <c r="D190" s="350"/>
      <c r="E190" s="415"/>
      <c r="F190" s="398"/>
      <c r="H190" s="398"/>
      <c r="I190" s="398"/>
      <c r="J190" s="392"/>
      <c r="L190" s="398"/>
      <c r="M190" s="398"/>
      <c r="N190" s="399"/>
      <c r="P190" s="419"/>
    </row>
    <row r="191" spans="1:16" s="400" customFormat="1" ht="24" customHeight="1">
      <c r="A191" s="397"/>
      <c r="B191" s="1109" t="s">
        <v>1640</v>
      </c>
      <c r="C191" s="350"/>
      <c r="D191" s="350"/>
      <c r="E191" s="415" t="s">
        <v>178</v>
      </c>
      <c r="F191" s="398"/>
      <c r="G191" s="350">
        <f>49563306.13-7185</f>
        <v>49556121.13</v>
      </c>
      <c r="H191" s="350"/>
      <c r="I191" s="398">
        <v>0</v>
      </c>
      <c r="J191" s="403"/>
      <c r="K191" s="350">
        <f>49563306.13-7185</f>
        <v>49556121.13</v>
      </c>
      <c r="L191" s="403"/>
      <c r="M191" s="398">
        <v>0</v>
      </c>
      <c r="N191" s="399"/>
      <c r="P191" s="419"/>
    </row>
    <row r="192" spans="1:13" ht="24" customHeight="1">
      <c r="A192" s="397" t="s">
        <v>675</v>
      </c>
      <c r="B192" s="1109" t="s">
        <v>703</v>
      </c>
      <c r="E192" s="415" t="s">
        <v>178</v>
      </c>
      <c r="F192" s="398"/>
      <c r="G192" s="350">
        <v>5229448.640000001</v>
      </c>
      <c r="I192" s="398">
        <v>4661253.43</v>
      </c>
      <c r="J192" s="403"/>
      <c r="K192" s="398">
        <v>38395698.64</v>
      </c>
      <c r="L192" s="403"/>
      <c r="M192" s="398">
        <v>32725003.43</v>
      </c>
    </row>
    <row r="193" spans="1:13" ht="24" customHeight="1">
      <c r="A193" s="397" t="s">
        <v>677</v>
      </c>
      <c r="B193" s="1109" t="s">
        <v>704</v>
      </c>
      <c r="C193" s="407"/>
      <c r="D193" s="407"/>
      <c r="E193" s="415" t="s">
        <v>178</v>
      </c>
      <c r="F193" s="398"/>
      <c r="G193" s="350">
        <v>4142449.329999998</v>
      </c>
      <c r="I193" s="398">
        <v>4099873.6</v>
      </c>
      <c r="J193" s="403"/>
      <c r="K193" s="398">
        <v>122942566.33</v>
      </c>
      <c r="L193" s="403"/>
      <c r="M193" s="398">
        <v>76699945.1</v>
      </c>
    </row>
    <row r="194" spans="1:13" ht="24" customHeight="1">
      <c r="A194" s="397" t="s">
        <v>678</v>
      </c>
      <c r="B194" s="1109" t="s">
        <v>1641</v>
      </c>
      <c r="C194" s="407"/>
      <c r="D194" s="407"/>
      <c r="F194" s="398"/>
      <c r="I194" s="398"/>
      <c r="J194" s="403"/>
      <c r="K194" s="398"/>
      <c r="L194" s="403"/>
      <c r="M194" s="398"/>
    </row>
    <row r="195" spans="1:13" ht="24" customHeight="1">
      <c r="A195" s="397"/>
      <c r="B195" s="1109" t="s">
        <v>1642</v>
      </c>
      <c r="C195" s="407"/>
      <c r="D195" s="407"/>
      <c r="E195" s="415" t="s">
        <v>178</v>
      </c>
      <c r="F195" s="398"/>
      <c r="G195" s="350">
        <v>44182889.389999986</v>
      </c>
      <c r="I195" s="398">
        <v>49026916.849999994</v>
      </c>
      <c r="J195" s="403"/>
      <c r="K195" s="398">
        <v>119339575.38999999</v>
      </c>
      <c r="L195" s="403"/>
      <c r="M195" s="398">
        <v>117648238.85</v>
      </c>
    </row>
    <row r="196" spans="1:13" ht="24" customHeight="1">
      <c r="A196" s="397" t="s">
        <v>680</v>
      </c>
      <c r="B196" s="1109" t="s">
        <v>705</v>
      </c>
      <c r="C196" s="407"/>
      <c r="D196" s="407"/>
      <c r="E196" s="415" t="s">
        <v>178</v>
      </c>
      <c r="F196" s="1112"/>
      <c r="G196" s="350">
        <v>284566</v>
      </c>
      <c r="I196" s="398">
        <v>284362</v>
      </c>
      <c r="J196" s="403"/>
      <c r="K196" s="398">
        <v>22924166</v>
      </c>
      <c r="L196" s="403"/>
      <c r="M196" s="398">
        <v>19528022</v>
      </c>
    </row>
    <row r="197" spans="1:13" ht="24" customHeight="1">
      <c r="A197" s="397" t="s">
        <v>30</v>
      </c>
      <c r="B197" s="1109" t="s">
        <v>701</v>
      </c>
      <c r="C197" s="405"/>
      <c r="D197" s="405"/>
      <c r="E197" s="415" t="s">
        <v>182</v>
      </c>
      <c r="F197" s="397"/>
      <c r="G197" s="350">
        <v>10898259.75</v>
      </c>
      <c r="I197" s="398">
        <v>3156951.58</v>
      </c>
      <c r="J197" s="403"/>
      <c r="K197" s="398">
        <v>11233459.75</v>
      </c>
      <c r="L197" s="403"/>
      <c r="M197" s="398">
        <v>3492151.58</v>
      </c>
    </row>
    <row r="198" spans="1:13" ht="24" customHeight="1">
      <c r="A198" s="397" t="s">
        <v>39</v>
      </c>
      <c r="B198" s="1109" t="s">
        <v>706</v>
      </c>
      <c r="C198" s="389"/>
      <c r="D198" s="389"/>
      <c r="E198" s="415" t="s">
        <v>741</v>
      </c>
      <c r="F198" s="400"/>
      <c r="G198" s="350">
        <v>435477.23</v>
      </c>
      <c r="I198" s="398">
        <v>446231.4</v>
      </c>
      <c r="J198" s="403"/>
      <c r="K198" s="398">
        <v>435477.23</v>
      </c>
      <c r="L198" s="403"/>
      <c r="M198" s="398">
        <v>446231.4</v>
      </c>
    </row>
    <row r="199" spans="1:13" ht="24" customHeight="1">
      <c r="A199" s="397" t="s">
        <v>42</v>
      </c>
      <c r="B199" s="1109" t="s">
        <v>1651</v>
      </c>
      <c r="C199" s="389"/>
      <c r="D199" s="389"/>
      <c r="E199" s="415" t="s">
        <v>233</v>
      </c>
      <c r="F199" s="401"/>
      <c r="G199" s="350">
        <v>5732621.869999999</v>
      </c>
      <c r="I199" s="398">
        <v>3712920.71</v>
      </c>
      <c r="J199" s="403"/>
      <c r="K199" s="350">
        <v>6532621.869999999</v>
      </c>
      <c r="L199" s="403"/>
      <c r="M199" s="398">
        <v>4512920.71</v>
      </c>
    </row>
    <row r="200" spans="1:13" ht="24" customHeight="1">
      <c r="A200" s="397" t="s">
        <v>43</v>
      </c>
      <c r="B200" s="1109" t="s">
        <v>674</v>
      </c>
      <c r="C200" s="389"/>
      <c r="D200" s="389"/>
      <c r="E200" s="415" t="s">
        <v>182</v>
      </c>
      <c r="F200" s="401"/>
      <c r="G200" s="350">
        <v>10064846.68</v>
      </c>
      <c r="I200" s="398">
        <v>9058979.64</v>
      </c>
      <c r="J200" s="403"/>
      <c r="K200" s="350">
        <v>10064846.68</v>
      </c>
      <c r="L200" s="403"/>
      <c r="M200" s="398">
        <v>9058979.64</v>
      </c>
    </row>
    <row r="201" spans="1:13" ht="24" customHeight="1">
      <c r="A201" s="397" t="s">
        <v>44</v>
      </c>
      <c r="B201" s="1109" t="s">
        <v>698</v>
      </c>
      <c r="E201" s="415" t="s">
        <v>178</v>
      </c>
      <c r="F201" s="398"/>
      <c r="G201" s="398">
        <v>37788543.519999996</v>
      </c>
      <c r="H201" s="398"/>
      <c r="I201" s="398">
        <v>38195779.239999995</v>
      </c>
      <c r="J201" s="398"/>
      <c r="K201" s="398">
        <v>41166003.519999996</v>
      </c>
      <c r="L201" s="398"/>
      <c r="M201" s="398">
        <v>41573239.239999995</v>
      </c>
    </row>
    <row r="202" spans="1:13" ht="24" customHeight="1">
      <c r="A202" s="397" t="s">
        <v>45</v>
      </c>
      <c r="B202" s="1109" t="s">
        <v>676</v>
      </c>
      <c r="C202" s="391"/>
      <c r="D202" s="391"/>
      <c r="E202" s="415" t="s">
        <v>178</v>
      </c>
      <c r="F202" s="1113"/>
      <c r="G202" s="398">
        <v>156483013.45999998</v>
      </c>
      <c r="H202" s="398"/>
      <c r="I202" s="398">
        <v>133992888.31</v>
      </c>
      <c r="J202" s="398"/>
      <c r="K202" s="398">
        <v>296667493.46</v>
      </c>
      <c r="L202" s="400"/>
      <c r="M202" s="398">
        <v>213228888.31</v>
      </c>
    </row>
    <row r="203" spans="1:13" ht="24" customHeight="1">
      <c r="A203" s="397" t="s">
        <v>46</v>
      </c>
      <c r="B203" s="1109" t="s">
        <v>828</v>
      </c>
      <c r="E203" s="415" t="s">
        <v>178</v>
      </c>
      <c r="F203" s="401"/>
      <c r="G203" s="398">
        <v>1536000</v>
      </c>
      <c r="I203" s="398">
        <v>1568500</v>
      </c>
      <c r="J203" s="403"/>
      <c r="K203" s="350">
        <v>22536000</v>
      </c>
      <c r="L203" s="403"/>
      <c r="M203" s="398">
        <v>25568500</v>
      </c>
    </row>
    <row r="204" spans="1:13" ht="24" customHeight="1">
      <c r="A204" s="397" t="s">
        <v>47</v>
      </c>
      <c r="B204" s="1109" t="s">
        <v>521</v>
      </c>
      <c r="E204" s="415" t="s">
        <v>135</v>
      </c>
      <c r="F204" s="398"/>
      <c r="G204" s="398">
        <v>2697304.43</v>
      </c>
      <c r="H204" s="398"/>
      <c r="I204" s="398">
        <v>2024207.77</v>
      </c>
      <c r="J204" s="398"/>
      <c r="K204" s="398">
        <v>2697304.43</v>
      </c>
      <c r="L204" s="398"/>
      <c r="M204" s="398">
        <v>2024207.77</v>
      </c>
    </row>
    <row r="205" spans="1:13" ht="24" customHeight="1">
      <c r="A205" s="397" t="s">
        <v>48</v>
      </c>
      <c r="B205" s="1109" t="s">
        <v>1643</v>
      </c>
      <c r="E205" s="415" t="s">
        <v>182</v>
      </c>
      <c r="F205" s="1113"/>
      <c r="G205" s="398">
        <v>13624066.76</v>
      </c>
      <c r="H205" s="398"/>
      <c r="I205" s="398">
        <v>13899603.28</v>
      </c>
      <c r="J205" s="398"/>
      <c r="K205" s="398">
        <v>14129941.76</v>
      </c>
      <c r="L205" s="400"/>
      <c r="M205" s="398">
        <v>14405478.28</v>
      </c>
    </row>
    <row r="206" spans="1:13" ht="24" customHeight="1">
      <c r="A206" s="397" t="s">
        <v>49</v>
      </c>
      <c r="B206" s="1109" t="s">
        <v>679</v>
      </c>
      <c r="E206" s="415" t="s">
        <v>178</v>
      </c>
      <c r="F206" s="1113"/>
      <c r="G206" s="350">
        <v>60671896.27</v>
      </c>
      <c r="H206" s="398"/>
      <c r="I206" s="398">
        <v>62470269.970000006</v>
      </c>
      <c r="J206" s="398"/>
      <c r="K206" s="350">
        <v>62111896.27</v>
      </c>
      <c r="L206" s="400"/>
      <c r="M206" s="398">
        <v>62470269.970000006</v>
      </c>
    </row>
    <row r="207" spans="1:13" ht="24" customHeight="1">
      <c r="A207" s="397" t="s">
        <v>50</v>
      </c>
      <c r="B207" s="1109" t="s">
        <v>31</v>
      </c>
      <c r="E207" s="415" t="s">
        <v>182</v>
      </c>
      <c r="F207" s="401"/>
      <c r="G207" s="350">
        <v>1191568.8599999999</v>
      </c>
      <c r="I207" s="398">
        <v>1846.5</v>
      </c>
      <c r="J207" s="403"/>
      <c r="K207" s="350">
        <v>1191568.8599999999</v>
      </c>
      <c r="L207" s="403"/>
      <c r="M207" s="398">
        <v>1001846.5</v>
      </c>
    </row>
    <row r="208" spans="1:13" ht="24" customHeight="1">
      <c r="A208" s="397" t="s">
        <v>51</v>
      </c>
      <c r="B208" s="1109" t="s">
        <v>32</v>
      </c>
      <c r="E208" s="415" t="s">
        <v>233</v>
      </c>
      <c r="F208" s="398"/>
      <c r="G208" s="398">
        <v>1309388.4399999995</v>
      </c>
      <c r="H208" s="398"/>
      <c r="I208" s="398">
        <v>524895.34</v>
      </c>
      <c r="J208" s="398"/>
      <c r="K208" s="398">
        <v>1309388.4399999995</v>
      </c>
      <c r="L208" s="398"/>
      <c r="M208" s="398">
        <v>1464895.34</v>
      </c>
    </row>
    <row r="209" spans="1:13" ht="24" customHeight="1">
      <c r="A209" s="397" t="s">
        <v>52</v>
      </c>
      <c r="B209" s="1109" t="s">
        <v>811</v>
      </c>
      <c r="E209" s="391"/>
      <c r="F209" s="1113"/>
      <c r="G209" s="398"/>
      <c r="H209" s="398"/>
      <c r="I209" s="398"/>
      <c r="J209" s="398"/>
      <c r="K209" s="398"/>
      <c r="L209" s="400"/>
      <c r="M209" s="1114"/>
    </row>
    <row r="210" spans="1:13" ht="24" customHeight="1">
      <c r="A210" s="414"/>
      <c r="B210" s="1109" t="s">
        <v>812</v>
      </c>
      <c r="E210" s="415" t="s">
        <v>178</v>
      </c>
      <c r="F210" s="401"/>
      <c r="G210" s="350">
        <v>96399778.05999999</v>
      </c>
      <c r="I210" s="398">
        <v>94026622.03</v>
      </c>
      <c r="J210" s="403"/>
      <c r="K210" s="350">
        <v>96399778.05999999</v>
      </c>
      <c r="L210" s="403"/>
      <c r="M210" s="398">
        <v>94026622.03</v>
      </c>
    </row>
    <row r="211" spans="1:13" ht="24" customHeight="1">
      <c r="A211" s="414" t="s">
        <v>53</v>
      </c>
      <c r="B211" s="1109" t="s">
        <v>1659</v>
      </c>
      <c r="E211" s="415" t="s">
        <v>178</v>
      </c>
      <c r="F211" s="398"/>
      <c r="G211" s="398">
        <f>7678925.74-5000</f>
        <v>7673925.74</v>
      </c>
      <c r="H211" s="398"/>
      <c r="I211" s="398">
        <v>7557240.79</v>
      </c>
      <c r="J211" s="398"/>
      <c r="K211" s="398">
        <f>7678925.74-5000</f>
        <v>7673925.74</v>
      </c>
      <c r="L211" s="398"/>
      <c r="M211" s="398">
        <v>7557240.79</v>
      </c>
    </row>
    <row r="212" spans="1:13" ht="24" customHeight="1">
      <c r="A212" s="414" t="s">
        <v>54</v>
      </c>
      <c r="B212" s="1109" t="s">
        <v>707</v>
      </c>
      <c r="E212" s="415" t="s">
        <v>228</v>
      </c>
      <c r="F212" s="1113"/>
      <c r="G212" s="398">
        <v>638172</v>
      </c>
      <c r="H212" s="398"/>
      <c r="I212" s="398">
        <v>1839292</v>
      </c>
      <c r="J212" s="398"/>
      <c r="K212" s="398">
        <v>638172</v>
      </c>
      <c r="L212" s="400"/>
      <c r="M212" s="398">
        <v>1839292</v>
      </c>
    </row>
    <row r="213" spans="1:13" ht="24" customHeight="1">
      <c r="A213" s="414"/>
      <c r="B213" s="1109"/>
      <c r="E213" s="389"/>
      <c r="F213" s="401"/>
      <c r="I213" s="398"/>
      <c r="J213" s="403"/>
      <c r="L213" s="403"/>
      <c r="M213" s="398"/>
    </row>
    <row r="214" spans="1:13" ht="24" customHeight="1">
      <c r="A214" s="397"/>
      <c r="B214" s="1109"/>
      <c r="F214" s="398"/>
      <c r="G214" s="398"/>
      <c r="H214" s="398"/>
      <c r="I214" s="398"/>
      <c r="J214" s="398"/>
      <c r="K214" s="398"/>
      <c r="L214" s="398"/>
      <c r="M214" s="398"/>
    </row>
    <row r="215" spans="1:13" ht="24" customHeight="1">
      <c r="A215" s="397"/>
      <c r="B215" s="1109"/>
      <c r="F215" s="398"/>
      <c r="G215" s="398"/>
      <c r="H215" s="398"/>
      <c r="I215" s="398"/>
      <c r="J215" s="398"/>
      <c r="K215" s="398"/>
      <c r="L215" s="398"/>
      <c r="M215" s="398"/>
    </row>
    <row r="216" spans="1:13" s="1052" customFormat="1" ht="24" customHeight="1">
      <c r="A216" s="1009" t="s">
        <v>1649</v>
      </c>
      <c r="B216" s="1009"/>
      <c r="C216" s="1009"/>
      <c r="D216" s="1009"/>
      <c r="E216" s="1009"/>
      <c r="F216" s="1009"/>
      <c r="G216" s="1009"/>
      <c r="H216" s="1009"/>
      <c r="I216" s="1009"/>
      <c r="J216" s="1009"/>
      <c r="K216" s="1111"/>
      <c r="L216" s="1111"/>
      <c r="M216" s="1111"/>
    </row>
    <row r="217" spans="1:13" ht="24" customHeight="1">
      <c r="A217" s="397"/>
      <c r="B217" s="1109"/>
      <c r="F217" s="398"/>
      <c r="G217" s="398"/>
      <c r="H217" s="398"/>
      <c r="I217" s="398"/>
      <c r="J217" s="398"/>
      <c r="K217" s="398"/>
      <c r="L217" s="398"/>
      <c r="M217" s="398"/>
    </row>
    <row r="218" spans="1:13" s="596" customFormat="1" ht="24" customHeight="1">
      <c r="A218" s="1029" t="s">
        <v>847</v>
      </c>
      <c r="B218" s="1029"/>
      <c r="C218" s="1029"/>
      <c r="D218" s="1029"/>
      <c r="E218" s="1029"/>
      <c r="F218" s="1029"/>
      <c r="G218" s="1029"/>
      <c r="H218" s="1029"/>
      <c r="I218" s="1029"/>
      <c r="J218" s="1029"/>
      <c r="K218" s="1110"/>
      <c r="L218" s="1110"/>
      <c r="M218" s="1110"/>
    </row>
    <row r="219" spans="1:13" ht="24" customHeight="1">
      <c r="A219" s="1098"/>
      <c r="B219" s="1098"/>
      <c r="C219" s="1098"/>
      <c r="D219" s="1098"/>
      <c r="E219" s="1098"/>
      <c r="F219" s="1098"/>
      <c r="G219" s="1098"/>
      <c r="H219" s="1098"/>
      <c r="I219" s="1098"/>
      <c r="J219" s="1098"/>
      <c r="K219" s="1098"/>
      <c r="L219" s="1098"/>
      <c r="M219" s="1098"/>
    </row>
    <row r="220" spans="1:13" s="350" customFormat="1" ht="24" customHeight="1">
      <c r="A220" s="1031" t="s">
        <v>1769</v>
      </c>
      <c r="B220" s="387"/>
      <c r="C220" s="387"/>
      <c r="D220" s="387"/>
      <c r="E220" s="387"/>
      <c r="F220" s="387"/>
      <c r="G220" s="387"/>
      <c r="H220" s="387"/>
      <c r="I220" s="387"/>
      <c r="J220" s="387"/>
      <c r="K220" s="387"/>
      <c r="L220" s="387"/>
      <c r="M220" s="387"/>
    </row>
    <row r="221" spans="1:18" s="400" customFormat="1" ht="24" customHeight="1">
      <c r="A221" s="388" t="s">
        <v>1777</v>
      </c>
      <c r="B221" s="387"/>
      <c r="C221" s="387"/>
      <c r="D221" s="387"/>
      <c r="E221" s="1099"/>
      <c r="F221" s="387"/>
      <c r="G221" s="387"/>
      <c r="H221" s="387"/>
      <c r="I221" s="387"/>
      <c r="J221" s="387"/>
      <c r="K221" s="387"/>
      <c r="L221" s="387"/>
      <c r="M221" s="387"/>
      <c r="R221" s="399"/>
    </row>
    <row r="222" spans="1:13" s="350" customFormat="1" ht="24" customHeight="1">
      <c r="A222" s="350" t="s">
        <v>372</v>
      </c>
      <c r="K222" s="306"/>
      <c r="L222" s="306"/>
      <c r="M222" s="390" t="s">
        <v>214</v>
      </c>
    </row>
    <row r="223" spans="2:13" s="350" customFormat="1" ht="24" customHeight="1">
      <c r="B223" s="352"/>
      <c r="C223" s="391"/>
      <c r="D223" s="391"/>
      <c r="E223" s="391"/>
      <c r="F223" s="351"/>
      <c r="G223" s="499"/>
      <c r="H223" s="500"/>
      <c r="I223" s="499" t="s">
        <v>1171</v>
      </c>
      <c r="J223" s="501"/>
      <c r="K223" s="502"/>
      <c r="L223" s="503"/>
      <c r="M223" s="504"/>
    </row>
    <row r="224" spans="2:13" s="350" customFormat="1" ht="24" customHeight="1">
      <c r="B224" s="352"/>
      <c r="C224" s="391"/>
      <c r="D224" s="391"/>
      <c r="E224" s="391"/>
      <c r="F224" s="351"/>
      <c r="G224" s="499" t="s">
        <v>541</v>
      </c>
      <c r="H224" s="500"/>
      <c r="I224" s="499" t="s">
        <v>1172</v>
      </c>
      <c r="J224" s="501"/>
      <c r="K224" s="1033" t="s">
        <v>126</v>
      </c>
      <c r="L224" s="503"/>
      <c r="M224" s="506"/>
    </row>
    <row r="225" spans="7:13" s="350" customFormat="1" ht="24" customHeight="1">
      <c r="G225" s="507"/>
      <c r="H225" s="1043"/>
      <c r="I225" s="507" t="s">
        <v>1173</v>
      </c>
      <c r="J225" s="501"/>
      <c r="K225" s="507"/>
      <c r="L225" s="507"/>
      <c r="M225" s="507"/>
    </row>
    <row r="226" spans="1:13" s="350" customFormat="1" ht="24" customHeight="1">
      <c r="A226" s="397"/>
      <c r="B226" s="398"/>
      <c r="E226" s="412"/>
      <c r="F226" s="398"/>
      <c r="G226" s="394" t="s">
        <v>898</v>
      </c>
      <c r="H226" s="395"/>
      <c r="I226" s="394" t="s">
        <v>747</v>
      </c>
      <c r="J226" s="393"/>
      <c r="K226" s="394" t="s">
        <v>898</v>
      </c>
      <c r="L226" s="395"/>
      <c r="M226" s="394" t="s">
        <v>747</v>
      </c>
    </row>
    <row r="227" spans="1:13" s="350" customFormat="1" ht="24" customHeight="1">
      <c r="A227" s="397"/>
      <c r="B227" s="398"/>
      <c r="E227" s="396" t="s">
        <v>351</v>
      </c>
      <c r="G227" s="394"/>
      <c r="H227" s="395"/>
      <c r="I227" s="394"/>
      <c r="J227" s="393"/>
      <c r="K227" s="394"/>
      <c r="L227" s="395"/>
      <c r="M227" s="394"/>
    </row>
    <row r="228" spans="1:13" ht="24" customHeight="1">
      <c r="A228" s="414" t="s">
        <v>55</v>
      </c>
      <c r="B228" s="1109" t="s">
        <v>681</v>
      </c>
      <c r="E228" s="415" t="s">
        <v>179</v>
      </c>
      <c r="F228" s="401"/>
      <c r="G228" s="350">
        <v>7801742.210000001</v>
      </c>
      <c r="I228" s="413">
        <v>7913666.45</v>
      </c>
      <c r="J228" s="403"/>
      <c r="K228" s="350">
        <v>7801742.210000001</v>
      </c>
      <c r="L228" s="403"/>
      <c r="M228" s="413">
        <v>7913666.45</v>
      </c>
    </row>
    <row r="229" spans="1:13" ht="24" customHeight="1">
      <c r="A229" s="414" t="s">
        <v>56</v>
      </c>
      <c r="B229" s="1109" t="s">
        <v>682</v>
      </c>
      <c r="E229" s="415" t="s">
        <v>233</v>
      </c>
      <c r="F229" s="398"/>
      <c r="G229" s="398">
        <v>751057.6</v>
      </c>
      <c r="H229" s="398"/>
      <c r="I229" s="398">
        <v>693128.6</v>
      </c>
      <c r="J229" s="398"/>
      <c r="K229" s="398">
        <v>751057.6</v>
      </c>
      <c r="L229" s="398"/>
      <c r="M229" s="398">
        <v>693128.6</v>
      </c>
    </row>
    <row r="230" spans="1:13" ht="24" customHeight="1">
      <c r="A230" s="414" t="s">
        <v>57</v>
      </c>
      <c r="B230" s="1109" t="s">
        <v>702</v>
      </c>
      <c r="E230" s="415" t="s">
        <v>233</v>
      </c>
      <c r="F230" s="1113"/>
      <c r="G230" s="398">
        <v>30883120.56</v>
      </c>
      <c r="H230" s="398"/>
      <c r="I230" s="398">
        <v>25196405.98</v>
      </c>
      <c r="J230" s="398"/>
      <c r="K230" s="398">
        <v>30883120.56</v>
      </c>
      <c r="L230" s="400"/>
      <c r="M230" s="398">
        <v>25196405.98</v>
      </c>
    </row>
    <row r="231" spans="1:13" ht="24" customHeight="1">
      <c r="A231" s="414" t="s">
        <v>58</v>
      </c>
      <c r="B231" s="1109" t="s">
        <v>33</v>
      </c>
      <c r="E231" s="415" t="s">
        <v>179</v>
      </c>
      <c r="F231" s="401"/>
      <c r="G231" s="350">
        <v>1742600</v>
      </c>
      <c r="I231" s="398">
        <v>1697360</v>
      </c>
      <c r="J231" s="403"/>
      <c r="K231" s="350">
        <v>1742600</v>
      </c>
      <c r="L231" s="403"/>
      <c r="M231" s="398">
        <v>1697360</v>
      </c>
    </row>
    <row r="232" spans="1:13" ht="24" customHeight="1">
      <c r="A232" s="414" t="s">
        <v>59</v>
      </c>
      <c r="B232" s="1109" t="s">
        <v>708</v>
      </c>
      <c r="E232" s="415" t="s">
        <v>233</v>
      </c>
      <c r="F232" s="398"/>
      <c r="G232" s="398">
        <v>6633712</v>
      </c>
      <c r="H232" s="398"/>
      <c r="I232" s="398">
        <v>5749012.58</v>
      </c>
      <c r="J232" s="398"/>
      <c r="K232" s="398">
        <v>6633712</v>
      </c>
      <c r="L232" s="398"/>
      <c r="M232" s="398">
        <v>5749012.58</v>
      </c>
    </row>
    <row r="233" spans="1:13" ht="24" customHeight="1">
      <c r="A233" s="414" t="s">
        <v>60</v>
      </c>
      <c r="B233" s="1109" t="s">
        <v>1660</v>
      </c>
      <c r="E233" s="415" t="s">
        <v>179</v>
      </c>
      <c r="F233" s="401"/>
      <c r="G233" s="350">
        <v>1153363.57</v>
      </c>
      <c r="I233" s="398">
        <v>2142120.5599999996</v>
      </c>
      <c r="J233" s="403"/>
      <c r="K233" s="350">
        <v>1153363.57</v>
      </c>
      <c r="L233" s="403"/>
      <c r="M233" s="398">
        <v>2142120.5599999996</v>
      </c>
    </row>
    <row r="234" spans="1:13" ht="24" customHeight="1">
      <c r="A234" s="414" t="s">
        <v>61</v>
      </c>
      <c r="B234" s="1109" t="s">
        <v>683</v>
      </c>
      <c r="E234" s="415" t="s">
        <v>179</v>
      </c>
      <c r="F234" s="398"/>
      <c r="G234" s="398">
        <v>554641.74</v>
      </c>
      <c r="H234" s="398"/>
      <c r="I234" s="398">
        <v>650730.5700000001</v>
      </c>
      <c r="J234" s="398"/>
      <c r="K234" s="398">
        <v>554641.74</v>
      </c>
      <c r="L234" s="398"/>
      <c r="M234" s="398">
        <v>650730.5700000001</v>
      </c>
    </row>
    <row r="235" spans="1:13" ht="24" customHeight="1">
      <c r="A235" s="414" t="s">
        <v>62</v>
      </c>
      <c r="B235" s="1109" t="s">
        <v>684</v>
      </c>
      <c r="E235" s="415" t="s">
        <v>233</v>
      </c>
      <c r="F235" s="1113"/>
      <c r="G235" s="398">
        <v>7912865.14</v>
      </c>
      <c r="H235" s="398"/>
      <c r="I235" s="398">
        <v>8298580.569999999</v>
      </c>
      <c r="J235" s="398"/>
      <c r="K235" s="398">
        <v>7912865.14</v>
      </c>
      <c r="L235" s="400"/>
      <c r="M235" s="398">
        <v>8298580.569999999</v>
      </c>
    </row>
    <row r="236" spans="1:13" ht="24" customHeight="1">
      <c r="A236" s="414" t="s">
        <v>63</v>
      </c>
      <c r="B236" s="1109" t="s">
        <v>685</v>
      </c>
      <c r="E236" s="415" t="s">
        <v>233</v>
      </c>
      <c r="F236" s="401"/>
      <c r="G236" s="350">
        <v>327764405.3000001</v>
      </c>
      <c r="I236" s="398">
        <v>323103556.02</v>
      </c>
      <c r="J236" s="403"/>
      <c r="K236" s="350">
        <v>327764405.3000001</v>
      </c>
      <c r="L236" s="403"/>
      <c r="M236" s="398">
        <v>323103556.02</v>
      </c>
    </row>
    <row r="237" spans="1:13" ht="24" customHeight="1">
      <c r="A237" s="414" t="s">
        <v>64</v>
      </c>
      <c r="B237" s="1109" t="s">
        <v>686</v>
      </c>
      <c r="E237" s="415" t="s">
        <v>233</v>
      </c>
      <c r="F237" s="398"/>
      <c r="G237" s="398">
        <v>51662551.239999995</v>
      </c>
      <c r="H237" s="398"/>
      <c r="I237" s="398">
        <v>75968006.58</v>
      </c>
      <c r="J237" s="398"/>
      <c r="K237" s="398">
        <v>51662551.239999995</v>
      </c>
      <c r="L237" s="398"/>
      <c r="M237" s="398">
        <v>75968006.58</v>
      </c>
    </row>
    <row r="238" spans="1:13" ht="24" customHeight="1">
      <c r="A238" s="414" t="s">
        <v>65</v>
      </c>
      <c r="B238" s="1109" t="s">
        <v>821</v>
      </c>
      <c r="E238" s="391"/>
      <c r="F238" s="1113"/>
      <c r="G238" s="398"/>
      <c r="H238" s="398"/>
      <c r="I238" s="398"/>
      <c r="J238" s="398"/>
      <c r="K238" s="398"/>
      <c r="L238" s="400"/>
      <c r="M238" s="1114"/>
    </row>
    <row r="239" spans="2:13" ht="24" customHeight="1">
      <c r="B239" s="1109" t="s">
        <v>822</v>
      </c>
      <c r="E239" s="415" t="s">
        <v>233</v>
      </c>
      <c r="F239" s="401"/>
      <c r="G239" s="350">
        <v>4213647.8999999985</v>
      </c>
      <c r="I239" s="398">
        <v>111534195.09</v>
      </c>
      <c r="J239" s="403"/>
      <c r="K239" s="350">
        <v>22735227.4</v>
      </c>
      <c r="L239" s="403"/>
      <c r="M239" s="398">
        <v>111534195.09</v>
      </c>
    </row>
    <row r="240" spans="1:13" ht="24" customHeight="1">
      <c r="A240" s="414" t="s">
        <v>66</v>
      </c>
      <c r="B240" s="1109" t="s">
        <v>709</v>
      </c>
      <c r="E240" s="415" t="s">
        <v>178</v>
      </c>
      <c r="F240" s="398"/>
      <c r="G240" s="398">
        <v>82455340</v>
      </c>
      <c r="H240" s="398"/>
      <c r="I240" s="398">
        <v>86188450</v>
      </c>
      <c r="J240" s="398"/>
      <c r="K240" s="398">
        <v>82455340</v>
      </c>
      <c r="L240" s="398"/>
      <c r="M240" s="398">
        <v>86188450</v>
      </c>
    </row>
    <row r="241" spans="1:13" ht="24" customHeight="1">
      <c r="A241" s="414" t="s">
        <v>67</v>
      </c>
      <c r="B241" s="1109" t="s">
        <v>687</v>
      </c>
      <c r="E241" s="415" t="s">
        <v>233</v>
      </c>
      <c r="F241" s="1113"/>
      <c r="G241" s="398">
        <v>17986783.7</v>
      </c>
      <c r="H241" s="398"/>
      <c r="I241" s="398">
        <v>18744027.780000005</v>
      </c>
      <c r="J241" s="398"/>
      <c r="K241" s="398">
        <v>17986783.7</v>
      </c>
      <c r="L241" s="400"/>
      <c r="M241" s="398">
        <v>18744027.780000005</v>
      </c>
    </row>
    <row r="242" spans="1:13" ht="24" customHeight="1">
      <c r="A242" s="414" t="s">
        <v>68</v>
      </c>
      <c r="B242" s="1109" t="s">
        <v>813</v>
      </c>
      <c r="E242" s="415" t="s">
        <v>233</v>
      </c>
      <c r="F242" s="401"/>
      <c r="G242" s="350">
        <v>24342123.1</v>
      </c>
      <c r="I242" s="398">
        <v>23819646.64</v>
      </c>
      <c r="J242" s="403"/>
      <c r="K242" s="350">
        <v>24342123.1</v>
      </c>
      <c r="L242" s="403"/>
      <c r="M242" s="398">
        <v>23819646.64</v>
      </c>
    </row>
    <row r="243" spans="1:13" ht="24" customHeight="1">
      <c r="A243" s="414" t="s">
        <v>69</v>
      </c>
      <c r="B243" s="1109" t="s">
        <v>1661</v>
      </c>
      <c r="E243" s="415" t="s">
        <v>178</v>
      </c>
      <c r="F243" s="398"/>
      <c r="G243" s="398">
        <v>1500000</v>
      </c>
      <c r="H243" s="398"/>
      <c r="I243" s="398">
        <v>1500000</v>
      </c>
      <c r="J243" s="398"/>
      <c r="K243" s="398">
        <v>1500000</v>
      </c>
      <c r="L243" s="398"/>
      <c r="M243" s="398">
        <v>1500000</v>
      </c>
    </row>
    <row r="244" spans="1:13" ht="24" customHeight="1">
      <c r="A244" s="414" t="s">
        <v>70</v>
      </c>
      <c r="B244" s="1109" t="s">
        <v>688</v>
      </c>
      <c r="E244" s="415" t="s">
        <v>233</v>
      </c>
      <c r="F244" s="1113"/>
      <c r="G244" s="398">
        <v>40834405.60000001</v>
      </c>
      <c r="H244" s="398"/>
      <c r="I244" s="398">
        <v>45741065.09</v>
      </c>
      <c r="J244" s="398"/>
      <c r="K244" s="398">
        <v>40834405.60000001</v>
      </c>
      <c r="L244" s="400"/>
      <c r="M244" s="398">
        <v>45741065.09</v>
      </c>
    </row>
    <row r="245" spans="1:13" ht="24" customHeight="1">
      <c r="A245" s="414" t="s">
        <v>71</v>
      </c>
      <c r="B245" s="1109" t="s">
        <v>693</v>
      </c>
      <c r="E245" s="415" t="s">
        <v>233</v>
      </c>
      <c r="F245" s="401"/>
      <c r="G245" s="350">
        <v>6691224</v>
      </c>
      <c r="I245" s="398">
        <v>6522966.22</v>
      </c>
      <c r="J245" s="403"/>
      <c r="K245" s="350">
        <v>6691224</v>
      </c>
      <c r="L245" s="403"/>
      <c r="M245" s="398">
        <v>6522966.22</v>
      </c>
    </row>
    <row r="246" spans="1:13" ht="24" customHeight="1">
      <c r="A246" s="414" t="s">
        <v>72</v>
      </c>
      <c r="B246" s="1109" t="s">
        <v>689</v>
      </c>
      <c r="E246" s="415" t="s">
        <v>233</v>
      </c>
      <c r="F246" s="398"/>
      <c r="G246" s="398">
        <f>50486217.03+63784.83</f>
        <v>50550001.86</v>
      </c>
      <c r="H246" s="398"/>
      <c r="I246" s="398">
        <v>48467838.12</v>
      </c>
      <c r="J246" s="398"/>
      <c r="K246" s="398">
        <f>50486217.03+63784.83</f>
        <v>50550001.86</v>
      </c>
      <c r="L246" s="398"/>
      <c r="M246" s="398">
        <v>48467838.12</v>
      </c>
    </row>
    <row r="247" spans="1:13" ht="24" customHeight="1">
      <c r="A247" s="414" t="s">
        <v>73</v>
      </c>
      <c r="B247" s="1109" t="s">
        <v>690</v>
      </c>
      <c r="E247" s="415" t="s">
        <v>233</v>
      </c>
      <c r="F247" s="1113"/>
      <c r="G247" s="398">
        <f>12936298.4+49200</f>
        <v>12985498.4</v>
      </c>
      <c r="H247" s="398"/>
      <c r="I247" s="398">
        <v>14615565.05</v>
      </c>
      <c r="J247" s="398"/>
      <c r="K247" s="398">
        <f>12936298.4+49200</f>
        <v>12985498.4</v>
      </c>
      <c r="L247" s="400"/>
      <c r="M247" s="398">
        <v>14615565.05</v>
      </c>
    </row>
    <row r="248" spans="1:13" ht="24" customHeight="1">
      <c r="A248" s="414" t="s">
        <v>74</v>
      </c>
      <c r="B248" s="1109" t="s">
        <v>814</v>
      </c>
      <c r="E248" s="415" t="s">
        <v>178</v>
      </c>
      <c r="F248" s="401"/>
      <c r="G248" s="350">
        <v>803454.9199999999</v>
      </c>
      <c r="I248" s="398">
        <v>16265400.09</v>
      </c>
      <c r="J248" s="403"/>
      <c r="K248" s="350">
        <v>803454.9199999999</v>
      </c>
      <c r="L248" s="403"/>
      <c r="M248" s="398">
        <v>16265400.09</v>
      </c>
    </row>
    <row r="249" spans="1:13" ht="24" customHeight="1">
      <c r="A249" s="414" t="s">
        <v>75</v>
      </c>
      <c r="B249" s="1109" t="s">
        <v>691</v>
      </c>
      <c r="E249" s="415" t="s">
        <v>228</v>
      </c>
      <c r="F249" s="398"/>
      <c r="G249" s="398">
        <f>5889279.21-20577.6</f>
        <v>5868701.61</v>
      </c>
      <c r="H249" s="398"/>
      <c r="I249" s="398">
        <v>12266286.99</v>
      </c>
      <c r="J249" s="398"/>
      <c r="K249" s="398">
        <f>5889279.21-20577.6</f>
        <v>5868701.61</v>
      </c>
      <c r="L249" s="398"/>
      <c r="M249" s="398">
        <v>12266286.99</v>
      </c>
    </row>
    <row r="250" spans="1:13" ht="24" customHeight="1">
      <c r="A250" s="414" t="s">
        <v>76</v>
      </c>
      <c r="B250" s="1109" t="s">
        <v>692</v>
      </c>
      <c r="E250" s="1116" t="s">
        <v>135</v>
      </c>
      <c r="F250" s="1113"/>
      <c r="G250" s="398">
        <v>30876486.049999997</v>
      </c>
      <c r="H250" s="398"/>
      <c r="I250" s="398">
        <v>27375883.41</v>
      </c>
      <c r="J250" s="398"/>
      <c r="K250" s="398">
        <v>30876486.049999997</v>
      </c>
      <c r="L250" s="400"/>
      <c r="M250" s="398">
        <v>27375883.41</v>
      </c>
    </row>
    <row r="251" spans="1:13" ht="24" customHeight="1">
      <c r="A251" s="414" t="s">
        <v>77</v>
      </c>
      <c r="B251" s="1109" t="s">
        <v>815</v>
      </c>
      <c r="E251" s="415" t="s">
        <v>233</v>
      </c>
      <c r="F251" s="401"/>
      <c r="G251" s="350">
        <v>16673887.320000004</v>
      </c>
      <c r="I251" s="398">
        <v>16233704.089999998</v>
      </c>
      <c r="J251" s="403"/>
      <c r="K251" s="350">
        <v>16673887.320000004</v>
      </c>
      <c r="L251" s="403"/>
      <c r="M251" s="398">
        <v>16233704.089999998</v>
      </c>
    </row>
    <row r="252" spans="1:13" ht="24" customHeight="1">
      <c r="A252" s="414" t="s">
        <v>78</v>
      </c>
      <c r="B252" s="1109" t="s">
        <v>34</v>
      </c>
      <c r="E252" s="415" t="s">
        <v>178</v>
      </c>
      <c r="F252" s="398"/>
      <c r="G252" s="398">
        <v>5466500</v>
      </c>
      <c r="H252" s="398"/>
      <c r="I252" s="398">
        <v>4940000</v>
      </c>
      <c r="J252" s="398"/>
      <c r="K252" s="398">
        <v>5466500</v>
      </c>
      <c r="L252" s="398"/>
      <c r="M252" s="398">
        <v>4940000</v>
      </c>
    </row>
    <row r="253" spans="1:13" ht="24" customHeight="1">
      <c r="A253" s="414" t="s">
        <v>79</v>
      </c>
      <c r="B253" s="1109" t="s">
        <v>816</v>
      </c>
      <c r="E253" s="415" t="s">
        <v>228</v>
      </c>
      <c r="F253" s="1113"/>
      <c r="G253" s="398">
        <f>196066223.14-5036.2</f>
        <v>196061186.94</v>
      </c>
      <c r="H253" s="398"/>
      <c r="I253" s="398">
        <v>190986002.7</v>
      </c>
      <c r="J253" s="398"/>
      <c r="K253" s="398">
        <f>196066223.14-5036.2</f>
        <v>196061186.94</v>
      </c>
      <c r="L253" s="400"/>
      <c r="M253" s="398">
        <v>190986002.7</v>
      </c>
    </row>
    <row r="254" spans="1:13" ht="24" customHeight="1">
      <c r="A254" s="414" t="s">
        <v>829</v>
      </c>
      <c r="B254" s="1109" t="s">
        <v>832</v>
      </c>
      <c r="E254" s="415" t="s">
        <v>179</v>
      </c>
      <c r="F254" s="401"/>
      <c r="G254" s="350">
        <v>1289400</v>
      </c>
      <c r="I254" s="398">
        <v>1808100</v>
      </c>
      <c r="J254" s="403"/>
      <c r="K254" s="350">
        <v>1289400</v>
      </c>
      <c r="L254" s="403"/>
      <c r="M254" s="398">
        <v>1808100</v>
      </c>
    </row>
    <row r="255" spans="1:13" ht="24" customHeight="1">
      <c r="A255" s="414" t="s">
        <v>830</v>
      </c>
      <c r="B255" s="1109" t="s">
        <v>710</v>
      </c>
      <c r="E255" s="415" t="s">
        <v>178</v>
      </c>
      <c r="F255" s="398"/>
      <c r="G255" s="398">
        <v>6885023.93</v>
      </c>
      <c r="H255" s="398"/>
      <c r="I255" s="398">
        <v>6977835.65</v>
      </c>
      <c r="J255" s="398"/>
      <c r="K255" s="398">
        <v>6885023.93</v>
      </c>
      <c r="L255" s="398"/>
      <c r="M255" s="398">
        <v>6977835.65</v>
      </c>
    </row>
    <row r="256" spans="1:13" ht="24" customHeight="1">
      <c r="A256" s="414" t="s">
        <v>831</v>
      </c>
      <c r="B256" s="1109" t="s">
        <v>746</v>
      </c>
      <c r="E256" s="415" t="s">
        <v>179</v>
      </c>
      <c r="F256" s="1113"/>
      <c r="G256" s="398">
        <v>3318360</v>
      </c>
      <c r="H256" s="398"/>
      <c r="I256" s="398">
        <v>2438800</v>
      </c>
      <c r="J256" s="398"/>
      <c r="K256" s="398">
        <v>3318360</v>
      </c>
      <c r="L256" s="400"/>
      <c r="M256" s="398">
        <v>2438800</v>
      </c>
    </row>
    <row r="257" spans="1:13" ht="24" customHeight="1">
      <c r="A257" s="414" t="s">
        <v>833</v>
      </c>
      <c r="B257" s="1109" t="s">
        <v>711</v>
      </c>
      <c r="E257" s="415" t="s">
        <v>817</v>
      </c>
      <c r="F257" s="401"/>
      <c r="G257" s="350">
        <v>3299359.7</v>
      </c>
      <c r="I257" s="398">
        <v>2479222.48</v>
      </c>
      <c r="J257" s="403"/>
      <c r="K257" s="350">
        <v>3299359.7</v>
      </c>
      <c r="L257" s="403"/>
      <c r="M257" s="398">
        <v>2479222.48</v>
      </c>
    </row>
    <row r="258" spans="1:13" ht="24" customHeight="1">
      <c r="A258" s="414" t="s">
        <v>834</v>
      </c>
      <c r="B258" s="1109" t="s">
        <v>364</v>
      </c>
      <c r="E258" s="415" t="s">
        <v>228</v>
      </c>
      <c r="F258" s="398"/>
      <c r="G258" s="398">
        <v>1371596.21</v>
      </c>
      <c r="H258" s="398"/>
      <c r="I258" s="398">
        <v>977233.73</v>
      </c>
      <c r="J258" s="398"/>
      <c r="K258" s="398">
        <v>1371596.21</v>
      </c>
      <c r="L258" s="398"/>
      <c r="M258" s="398">
        <v>977233.73</v>
      </c>
    </row>
    <row r="259" spans="1:13" ht="24" customHeight="1">
      <c r="A259" s="414" t="s">
        <v>835</v>
      </c>
      <c r="B259" s="1109" t="s">
        <v>820</v>
      </c>
      <c r="E259" s="415" t="s">
        <v>179</v>
      </c>
      <c r="F259" s="1113"/>
      <c r="G259" s="398">
        <v>51352950.190000005</v>
      </c>
      <c r="H259" s="398"/>
      <c r="I259" s="398">
        <v>50400292.349999994</v>
      </c>
      <c r="J259" s="398"/>
      <c r="K259" s="398">
        <v>51352950.190000005</v>
      </c>
      <c r="L259" s="400"/>
      <c r="M259" s="398">
        <v>50400292.349999994</v>
      </c>
    </row>
    <row r="262" spans="1:13" s="1052" customFormat="1" ht="24" customHeight="1">
      <c r="A262" s="1009" t="s">
        <v>1649</v>
      </c>
      <c r="B262" s="1009"/>
      <c r="C262" s="1009"/>
      <c r="D262" s="1009"/>
      <c r="E262" s="1009"/>
      <c r="F262" s="1009"/>
      <c r="G262" s="1009"/>
      <c r="H262" s="1009"/>
      <c r="I262" s="1009"/>
      <c r="J262" s="1009"/>
      <c r="K262" s="1111"/>
      <c r="L262" s="1111"/>
      <c r="M262" s="1111"/>
    </row>
    <row r="263" spans="1:13" s="596" customFormat="1" ht="24" customHeight="1">
      <c r="A263" s="1029" t="s">
        <v>1722</v>
      </c>
      <c r="B263" s="1029"/>
      <c r="C263" s="1029"/>
      <c r="D263" s="1029"/>
      <c r="E263" s="1029"/>
      <c r="F263" s="1029"/>
      <c r="G263" s="1029"/>
      <c r="H263" s="1029"/>
      <c r="I263" s="1029"/>
      <c r="J263" s="1029"/>
      <c r="K263" s="1110"/>
      <c r="L263" s="1110"/>
      <c r="M263" s="1110"/>
    </row>
    <row r="264" spans="1:13" ht="24" customHeight="1">
      <c r="A264" s="1098"/>
      <c r="B264" s="1098"/>
      <c r="C264" s="1098"/>
      <c r="D264" s="1098"/>
      <c r="E264" s="1098"/>
      <c r="F264" s="1098"/>
      <c r="G264" s="1098"/>
      <c r="H264" s="1098"/>
      <c r="I264" s="1098"/>
      <c r="J264" s="1098"/>
      <c r="K264" s="1098"/>
      <c r="L264" s="1098"/>
      <c r="M264" s="1098"/>
    </row>
    <row r="265" spans="1:13" s="350" customFormat="1" ht="24" customHeight="1">
      <c r="A265" s="1031" t="s">
        <v>1769</v>
      </c>
      <c r="B265" s="387"/>
      <c r="C265" s="387"/>
      <c r="D265" s="387"/>
      <c r="E265" s="387"/>
      <c r="F265" s="387"/>
      <c r="G265" s="387"/>
      <c r="H265" s="387"/>
      <c r="I265" s="387"/>
      <c r="J265" s="387"/>
      <c r="K265" s="387"/>
      <c r="L265" s="387"/>
      <c r="M265" s="387"/>
    </row>
    <row r="266" spans="1:18" s="400" customFormat="1" ht="24" customHeight="1">
      <c r="A266" s="388" t="s">
        <v>1777</v>
      </c>
      <c r="B266" s="387"/>
      <c r="C266" s="387"/>
      <c r="D266" s="387"/>
      <c r="E266" s="1099"/>
      <c r="F266" s="387"/>
      <c r="G266" s="387"/>
      <c r="H266" s="387"/>
      <c r="I266" s="387"/>
      <c r="J266" s="387"/>
      <c r="K266" s="387"/>
      <c r="L266" s="387"/>
      <c r="M266" s="387"/>
      <c r="R266" s="399"/>
    </row>
    <row r="267" spans="1:13" s="350" customFormat="1" ht="24" customHeight="1">
      <c r="A267" s="350" t="s">
        <v>372</v>
      </c>
      <c r="K267" s="306"/>
      <c r="L267" s="306"/>
      <c r="M267" s="390" t="s">
        <v>214</v>
      </c>
    </row>
    <row r="268" spans="2:13" s="350" customFormat="1" ht="24" customHeight="1">
      <c r="B268" s="352"/>
      <c r="C268" s="391"/>
      <c r="D268" s="391"/>
      <c r="E268" s="391"/>
      <c r="F268" s="351"/>
      <c r="G268" s="499"/>
      <c r="H268" s="500"/>
      <c r="I268" s="499" t="s">
        <v>1171</v>
      </c>
      <c r="J268" s="501"/>
      <c r="K268" s="502"/>
      <c r="L268" s="503"/>
      <c r="M268" s="504"/>
    </row>
    <row r="269" spans="2:13" s="350" customFormat="1" ht="24" customHeight="1">
      <c r="B269" s="352"/>
      <c r="C269" s="391"/>
      <c r="D269" s="391"/>
      <c r="E269" s="391"/>
      <c r="F269" s="351"/>
      <c r="G269" s="499" t="s">
        <v>541</v>
      </c>
      <c r="H269" s="500"/>
      <c r="I269" s="499" t="s">
        <v>1172</v>
      </c>
      <c r="J269" s="501"/>
      <c r="K269" s="1033" t="s">
        <v>126</v>
      </c>
      <c r="L269" s="503"/>
      <c r="M269" s="506"/>
    </row>
    <row r="270" spans="7:13" s="350" customFormat="1" ht="24" customHeight="1">
      <c r="G270" s="507"/>
      <c r="H270" s="1043"/>
      <c r="I270" s="507" t="s">
        <v>1173</v>
      </c>
      <c r="J270" s="501"/>
      <c r="K270" s="507"/>
      <c r="L270" s="507"/>
      <c r="M270" s="507"/>
    </row>
    <row r="271" spans="1:13" s="350" customFormat="1" ht="24" customHeight="1">
      <c r="A271" s="397"/>
      <c r="B271" s="398"/>
      <c r="E271" s="412"/>
      <c r="F271" s="398"/>
      <c r="G271" s="394" t="s">
        <v>898</v>
      </c>
      <c r="H271" s="395"/>
      <c r="I271" s="394" t="s">
        <v>747</v>
      </c>
      <c r="J271" s="393"/>
      <c r="K271" s="394" t="s">
        <v>898</v>
      </c>
      <c r="L271" s="395"/>
      <c r="M271" s="394" t="s">
        <v>747</v>
      </c>
    </row>
    <row r="272" spans="1:13" s="350" customFormat="1" ht="24" customHeight="1">
      <c r="A272" s="397"/>
      <c r="B272" s="398"/>
      <c r="E272" s="396" t="s">
        <v>351</v>
      </c>
      <c r="G272" s="394"/>
      <c r="H272" s="395"/>
      <c r="I272" s="394"/>
      <c r="J272" s="393"/>
      <c r="K272" s="394"/>
      <c r="L272" s="395"/>
      <c r="M272" s="394"/>
    </row>
    <row r="273" spans="1:13" ht="24" customHeight="1">
      <c r="A273" s="414" t="s">
        <v>836</v>
      </c>
      <c r="B273" s="1109" t="s">
        <v>712</v>
      </c>
      <c r="E273" s="415" t="s">
        <v>178</v>
      </c>
      <c r="F273" s="398"/>
      <c r="G273" s="398">
        <v>3764465.94</v>
      </c>
      <c r="H273" s="398"/>
      <c r="I273" s="398">
        <v>3890380.2499999995</v>
      </c>
      <c r="J273" s="398"/>
      <c r="K273" s="398">
        <v>3764465.94</v>
      </c>
      <c r="L273" s="398"/>
      <c r="M273" s="398">
        <v>3890380.2499999995</v>
      </c>
    </row>
    <row r="274" spans="1:13" ht="24" customHeight="1">
      <c r="A274" s="414" t="s">
        <v>837</v>
      </c>
      <c r="B274" s="1109" t="s">
        <v>713</v>
      </c>
      <c r="E274" s="415" t="s">
        <v>178</v>
      </c>
      <c r="F274" s="1113"/>
      <c r="G274" s="398">
        <v>1630102.3599999999</v>
      </c>
      <c r="H274" s="398"/>
      <c r="I274" s="398">
        <v>1689847.6</v>
      </c>
      <c r="J274" s="398"/>
      <c r="K274" s="398">
        <v>1630102.3599999999</v>
      </c>
      <c r="L274" s="400"/>
      <c r="M274" s="398">
        <v>1689847.6</v>
      </c>
    </row>
    <row r="275" spans="1:13" ht="24" customHeight="1">
      <c r="A275" s="414" t="s">
        <v>1662</v>
      </c>
      <c r="B275" s="1109" t="s">
        <v>714</v>
      </c>
      <c r="E275" s="415" t="s">
        <v>178</v>
      </c>
      <c r="F275" s="401"/>
      <c r="G275" s="350">
        <v>2443569.48</v>
      </c>
      <c r="I275" s="398">
        <v>6055632.29</v>
      </c>
      <c r="J275" s="403"/>
      <c r="K275" s="350">
        <v>2443569.48</v>
      </c>
      <c r="L275" s="403"/>
      <c r="M275" s="398">
        <v>6055632.29</v>
      </c>
    </row>
    <row r="276" spans="1:13" ht="24" customHeight="1">
      <c r="A276" s="414" t="s">
        <v>1663</v>
      </c>
      <c r="B276" s="1109" t="s">
        <v>695</v>
      </c>
      <c r="E276" s="415" t="s">
        <v>233</v>
      </c>
      <c r="F276" s="398"/>
      <c r="G276" s="398">
        <v>49709861.14</v>
      </c>
      <c r="H276" s="398"/>
      <c r="I276" s="398">
        <v>68244281.89</v>
      </c>
      <c r="J276" s="398"/>
      <c r="K276" s="398">
        <v>49709861.14</v>
      </c>
      <c r="L276" s="398"/>
      <c r="M276" s="398">
        <v>68244281.89</v>
      </c>
    </row>
    <row r="277" spans="1:13" ht="24" customHeight="1">
      <c r="A277" s="414" t="s">
        <v>1664</v>
      </c>
      <c r="B277" s="1109" t="s">
        <v>715</v>
      </c>
      <c r="E277" s="415" t="s">
        <v>179</v>
      </c>
      <c r="F277" s="1113"/>
      <c r="G277" s="398">
        <v>129999.68</v>
      </c>
      <c r="H277" s="398"/>
      <c r="I277" s="398">
        <v>70106666.4</v>
      </c>
      <c r="J277" s="398"/>
      <c r="K277" s="398">
        <v>129999.68</v>
      </c>
      <c r="L277" s="400"/>
      <c r="M277" s="398">
        <v>70106666.4</v>
      </c>
    </row>
    <row r="278" spans="1:13" ht="24" customHeight="1">
      <c r="A278" s="414" t="s">
        <v>1665</v>
      </c>
      <c r="B278" s="1109" t="s">
        <v>1666</v>
      </c>
      <c r="E278" s="389"/>
      <c r="F278" s="401"/>
      <c r="G278" s="417"/>
      <c r="I278" s="398"/>
      <c r="J278" s="403"/>
      <c r="L278" s="403"/>
      <c r="M278" s="398"/>
    </row>
    <row r="279" spans="1:13" ht="24" customHeight="1">
      <c r="A279" s="414"/>
      <c r="B279" s="1109" t="s">
        <v>1667</v>
      </c>
      <c r="E279" s="415" t="s">
        <v>178</v>
      </c>
      <c r="F279" s="401"/>
      <c r="G279" s="350">
        <v>500000</v>
      </c>
      <c r="I279" s="398">
        <v>0</v>
      </c>
      <c r="J279" s="403"/>
      <c r="K279" s="350">
        <v>500000</v>
      </c>
      <c r="L279" s="403"/>
      <c r="M279" s="398">
        <v>0</v>
      </c>
    </row>
    <row r="280" spans="1:13" ht="24" customHeight="1">
      <c r="A280" s="414" t="s">
        <v>1668</v>
      </c>
      <c r="B280" s="1109" t="s">
        <v>716</v>
      </c>
      <c r="E280" s="415" t="s">
        <v>179</v>
      </c>
      <c r="F280" s="398"/>
      <c r="G280" s="398">
        <v>2542356.77</v>
      </c>
      <c r="H280" s="398"/>
      <c r="I280" s="398">
        <v>5438997.339999999</v>
      </c>
      <c r="J280" s="398"/>
      <c r="K280" s="398">
        <v>2542356.77</v>
      </c>
      <c r="L280" s="398"/>
      <c r="M280" s="398">
        <v>5438997.339999999</v>
      </c>
    </row>
    <row r="281" spans="1:13" ht="24" customHeight="1">
      <c r="A281" s="414" t="s">
        <v>1669</v>
      </c>
      <c r="B281" s="1109" t="s">
        <v>696</v>
      </c>
      <c r="E281" s="415" t="s">
        <v>179</v>
      </c>
      <c r="F281" s="1113"/>
      <c r="G281" s="398">
        <v>28844497.349999998</v>
      </c>
      <c r="H281" s="398"/>
      <c r="I281" s="398">
        <v>27905381.680000003</v>
      </c>
      <c r="J281" s="398"/>
      <c r="K281" s="398">
        <v>28844497.349999998</v>
      </c>
      <c r="L281" s="400"/>
      <c r="M281" s="398">
        <v>27905381.680000003</v>
      </c>
    </row>
    <row r="282" spans="1:13" ht="24" customHeight="1">
      <c r="A282" s="414" t="s">
        <v>1670</v>
      </c>
      <c r="B282" s="1109" t="s">
        <v>1671</v>
      </c>
      <c r="E282" s="415" t="s">
        <v>233</v>
      </c>
      <c r="F282" s="401"/>
      <c r="G282" s="350">
        <v>1082500</v>
      </c>
      <c r="I282" s="398">
        <v>1343800</v>
      </c>
      <c r="J282" s="403"/>
      <c r="K282" s="350">
        <v>1082500</v>
      </c>
      <c r="L282" s="403"/>
      <c r="M282" s="398">
        <v>1343800</v>
      </c>
    </row>
    <row r="283" spans="1:13" ht="24" customHeight="1">
      <c r="A283" s="414" t="s">
        <v>1672</v>
      </c>
      <c r="B283" s="1109" t="s">
        <v>697</v>
      </c>
      <c r="E283" s="415" t="s">
        <v>233</v>
      </c>
      <c r="F283" s="398"/>
      <c r="G283" s="398">
        <f>49463188.59+1364.51</f>
        <v>49464553.1</v>
      </c>
      <c r="H283" s="398"/>
      <c r="I283" s="398">
        <v>43055811.03</v>
      </c>
      <c r="J283" s="398"/>
      <c r="K283" s="398">
        <f>49463188.59+1364.51</f>
        <v>49464553.1</v>
      </c>
      <c r="L283" s="398"/>
      <c r="M283" s="398">
        <v>43055811.03</v>
      </c>
    </row>
    <row r="284" spans="1:13" ht="24" customHeight="1">
      <c r="A284" s="414" t="s">
        <v>1673</v>
      </c>
      <c r="B284" s="1109" t="s">
        <v>818</v>
      </c>
      <c r="E284" s="415" t="s">
        <v>228</v>
      </c>
      <c r="F284" s="1113"/>
      <c r="G284" s="398">
        <v>31692448.049999997</v>
      </c>
      <c r="H284" s="398"/>
      <c r="I284" s="398">
        <v>29180535.480000004</v>
      </c>
      <c r="J284" s="398"/>
      <c r="K284" s="398">
        <v>31692448.049999997</v>
      </c>
      <c r="L284" s="400"/>
      <c r="M284" s="398">
        <v>29180535.480000004</v>
      </c>
    </row>
    <row r="285" spans="1:13" ht="24" customHeight="1">
      <c r="A285" s="414" t="s">
        <v>1674</v>
      </c>
      <c r="B285" s="1109" t="s">
        <v>717</v>
      </c>
      <c r="E285" s="415" t="s">
        <v>817</v>
      </c>
      <c r="F285" s="401"/>
      <c r="G285" s="350">
        <v>16362521.48</v>
      </c>
      <c r="I285" s="398">
        <v>15260216.78</v>
      </c>
      <c r="J285" s="403"/>
      <c r="K285" s="350">
        <v>16362521.48</v>
      </c>
      <c r="L285" s="403"/>
      <c r="M285" s="398">
        <v>15260216.78</v>
      </c>
    </row>
    <row r="286" spans="1:13" ht="24" customHeight="1">
      <c r="A286" s="414" t="s">
        <v>1675</v>
      </c>
      <c r="B286" s="1109" t="s">
        <v>1644</v>
      </c>
      <c r="E286" s="415" t="s">
        <v>817</v>
      </c>
      <c r="F286" s="398"/>
      <c r="G286" s="398">
        <v>8580661.47</v>
      </c>
      <c r="H286" s="398"/>
      <c r="I286" s="398">
        <v>9782446.209999999</v>
      </c>
      <c r="J286" s="398"/>
      <c r="K286" s="398">
        <v>8580661.47</v>
      </c>
      <c r="L286" s="398"/>
      <c r="M286" s="398">
        <v>9782446.209999999</v>
      </c>
    </row>
    <row r="287" spans="1:13" ht="24" customHeight="1">
      <c r="A287" s="414" t="s">
        <v>1676</v>
      </c>
      <c r="B287" s="1109" t="s">
        <v>819</v>
      </c>
      <c r="E287" s="415" t="s">
        <v>233</v>
      </c>
      <c r="F287" s="401"/>
      <c r="G287" s="350">
        <v>14141093.86</v>
      </c>
      <c r="I287" s="398">
        <v>12926793.74</v>
      </c>
      <c r="J287" s="403"/>
      <c r="K287" s="350">
        <v>14141093.86</v>
      </c>
      <c r="L287" s="403"/>
      <c r="M287" s="398">
        <v>12926793.74</v>
      </c>
    </row>
    <row r="288" spans="1:13" ht="24" customHeight="1">
      <c r="A288" s="414" t="s">
        <v>1677</v>
      </c>
      <c r="B288" s="1109" t="s">
        <v>718</v>
      </c>
      <c r="E288" s="415" t="s">
        <v>178</v>
      </c>
      <c r="F288" s="398"/>
      <c r="G288" s="398">
        <v>7393900</v>
      </c>
      <c r="H288" s="398"/>
      <c r="I288" s="398">
        <v>6334200</v>
      </c>
      <c r="J288" s="398"/>
      <c r="K288" s="398">
        <v>7393900</v>
      </c>
      <c r="L288" s="398"/>
      <c r="M288" s="398">
        <v>6334200</v>
      </c>
    </row>
    <row r="289" spans="1:13" ht="24" customHeight="1">
      <c r="A289" s="414" t="s">
        <v>1678</v>
      </c>
      <c r="B289" s="1109" t="s">
        <v>1679</v>
      </c>
      <c r="E289" s="391"/>
      <c r="F289" s="1113"/>
      <c r="G289" s="417"/>
      <c r="H289" s="417"/>
      <c r="I289" s="417"/>
      <c r="J289" s="417"/>
      <c r="K289" s="417"/>
      <c r="L289" s="400"/>
      <c r="M289" s="1114"/>
    </row>
    <row r="290" spans="1:13" ht="24" customHeight="1">
      <c r="A290" s="414"/>
      <c r="B290" s="1109" t="s">
        <v>1658</v>
      </c>
      <c r="E290" s="415" t="s">
        <v>179</v>
      </c>
      <c r="F290" s="1113"/>
      <c r="G290" s="398">
        <v>6666748.380000003</v>
      </c>
      <c r="H290" s="398"/>
      <c r="I290" s="398">
        <v>9180000</v>
      </c>
      <c r="J290" s="398"/>
      <c r="K290" s="398">
        <v>59810335.38</v>
      </c>
      <c r="L290" s="400"/>
      <c r="M290" s="398">
        <v>9180000</v>
      </c>
    </row>
    <row r="291" spans="1:13" ht="24" customHeight="1">
      <c r="A291" s="414" t="s">
        <v>1680</v>
      </c>
      <c r="B291" s="1109" t="s">
        <v>838</v>
      </c>
      <c r="E291" s="415" t="s">
        <v>178</v>
      </c>
      <c r="F291" s="401"/>
      <c r="G291" s="350">
        <v>20830727.739999995</v>
      </c>
      <c r="I291" s="398">
        <v>20706272</v>
      </c>
      <c r="J291" s="403"/>
      <c r="K291" s="350">
        <v>89791181.74</v>
      </c>
      <c r="L291" s="403"/>
      <c r="M291" s="398">
        <v>20706272</v>
      </c>
    </row>
    <row r="292" spans="1:13" ht="24" customHeight="1">
      <c r="A292" s="414" t="s">
        <v>1681</v>
      </c>
      <c r="B292" s="1109" t="s">
        <v>524</v>
      </c>
      <c r="E292" s="415" t="s">
        <v>233</v>
      </c>
      <c r="F292" s="398"/>
      <c r="G292" s="398">
        <v>25446761.91</v>
      </c>
      <c r="H292" s="398"/>
      <c r="I292" s="398">
        <v>25596286.220000003</v>
      </c>
      <c r="J292" s="398"/>
      <c r="K292" s="398">
        <v>25446761.91</v>
      </c>
      <c r="L292" s="398"/>
      <c r="M292" s="398">
        <v>25596286.220000003</v>
      </c>
    </row>
    <row r="293" spans="1:13" ht="24" customHeight="1">
      <c r="A293" s="414" t="s">
        <v>1682</v>
      </c>
      <c r="B293" s="1109" t="s">
        <v>719</v>
      </c>
      <c r="E293" s="415" t="s">
        <v>233</v>
      </c>
      <c r="F293" s="1113"/>
      <c r="G293" s="398">
        <v>2249680.6</v>
      </c>
      <c r="H293" s="398"/>
      <c r="I293" s="398">
        <v>2316188.68</v>
      </c>
      <c r="J293" s="398"/>
      <c r="K293" s="398">
        <v>2249680.6</v>
      </c>
      <c r="L293" s="400"/>
      <c r="M293" s="398">
        <v>2316188.68</v>
      </c>
    </row>
    <row r="294" spans="1:13" ht="24" customHeight="1">
      <c r="A294" s="414" t="s">
        <v>1683</v>
      </c>
      <c r="B294" s="1109" t="s">
        <v>1684</v>
      </c>
      <c r="E294" s="389"/>
      <c r="F294" s="401"/>
      <c r="G294" s="417"/>
      <c r="H294" s="417"/>
      <c r="I294" s="417"/>
      <c r="J294" s="417"/>
      <c r="K294" s="417"/>
      <c r="L294" s="403"/>
      <c r="M294" s="398"/>
    </row>
    <row r="295" spans="1:13" ht="24" customHeight="1">
      <c r="A295" s="414"/>
      <c r="B295" s="1109" t="s">
        <v>1685</v>
      </c>
      <c r="E295" s="415" t="s">
        <v>233</v>
      </c>
      <c r="F295" s="401"/>
      <c r="G295" s="350">
        <v>1500000</v>
      </c>
      <c r="I295" s="398">
        <v>2250000</v>
      </c>
      <c r="J295" s="403"/>
      <c r="K295" s="350">
        <v>1500000</v>
      </c>
      <c r="L295" s="403"/>
      <c r="M295" s="398">
        <v>2250000</v>
      </c>
    </row>
    <row r="296" spans="1:13" ht="24" customHeight="1">
      <c r="A296" s="414" t="s">
        <v>1686</v>
      </c>
      <c r="B296" s="1109" t="s">
        <v>735</v>
      </c>
      <c r="E296" s="415" t="s">
        <v>228</v>
      </c>
      <c r="F296" s="398"/>
      <c r="G296" s="398">
        <v>1144847.3099999998</v>
      </c>
      <c r="H296" s="398"/>
      <c r="I296" s="398">
        <v>1199943.89</v>
      </c>
      <c r="J296" s="398"/>
      <c r="K296" s="398">
        <v>1144847.3099999998</v>
      </c>
      <c r="L296" s="398"/>
      <c r="M296" s="398">
        <v>1199943.89</v>
      </c>
    </row>
    <row r="297" spans="1:13" ht="24" customHeight="1">
      <c r="A297" s="414" t="s">
        <v>1687</v>
      </c>
      <c r="B297" s="1109" t="s">
        <v>734</v>
      </c>
      <c r="E297" s="415" t="s">
        <v>228</v>
      </c>
      <c r="F297" s="401"/>
      <c r="G297" s="350">
        <v>4322620.88</v>
      </c>
      <c r="I297" s="398">
        <v>4473176.609999999</v>
      </c>
      <c r="J297" s="403"/>
      <c r="K297" s="350">
        <v>4322620.88</v>
      </c>
      <c r="L297" s="403"/>
      <c r="M297" s="398">
        <v>4473176.609999999</v>
      </c>
    </row>
    <row r="298" spans="1:13" ht="24" customHeight="1">
      <c r="A298" s="414" t="s">
        <v>1688</v>
      </c>
      <c r="B298" s="1109" t="s">
        <v>87</v>
      </c>
      <c r="E298" s="415" t="s">
        <v>178</v>
      </c>
      <c r="F298" s="398"/>
      <c r="G298" s="398">
        <v>2584429</v>
      </c>
      <c r="H298" s="398"/>
      <c r="I298" s="398">
        <v>2677570.09</v>
      </c>
      <c r="J298" s="398"/>
      <c r="K298" s="398">
        <v>2584429</v>
      </c>
      <c r="L298" s="398"/>
      <c r="M298" s="398">
        <v>2677570.09</v>
      </c>
    </row>
    <row r="299" spans="1:13" ht="24" customHeight="1">
      <c r="A299" s="414" t="s">
        <v>1689</v>
      </c>
      <c r="B299" s="1109" t="s">
        <v>88</v>
      </c>
      <c r="E299" s="415" t="s">
        <v>178</v>
      </c>
      <c r="F299" s="1113"/>
      <c r="G299" s="398">
        <v>1617845</v>
      </c>
      <c r="H299" s="398"/>
      <c r="I299" s="398">
        <v>3235690</v>
      </c>
      <c r="J299" s="398"/>
      <c r="K299" s="398">
        <v>1617845</v>
      </c>
      <c r="L299" s="400"/>
      <c r="M299" s="398">
        <v>3235690</v>
      </c>
    </row>
    <row r="300" spans="1:13" ht="24" customHeight="1">
      <c r="A300" s="414" t="s">
        <v>1690</v>
      </c>
      <c r="B300" s="1109" t="s">
        <v>1645</v>
      </c>
      <c r="E300" s="415"/>
      <c r="F300" s="401"/>
      <c r="G300" s="398"/>
      <c r="H300" s="398"/>
      <c r="I300" s="398"/>
      <c r="J300" s="398"/>
      <c r="K300" s="398"/>
      <c r="L300" s="398"/>
      <c r="M300" s="398"/>
    </row>
    <row r="301" spans="1:13" ht="24" customHeight="1">
      <c r="A301" s="414"/>
      <c r="B301" s="1109" t="s">
        <v>1646</v>
      </c>
      <c r="E301" s="389" t="s">
        <v>233</v>
      </c>
      <c r="F301" s="401"/>
      <c r="G301" s="398">
        <v>418726095.97</v>
      </c>
      <c r="H301" s="398"/>
      <c r="I301" s="398">
        <v>202662811.76</v>
      </c>
      <c r="J301" s="398"/>
      <c r="K301" s="398">
        <v>418726095.97</v>
      </c>
      <c r="L301" s="398"/>
      <c r="M301" s="398">
        <v>202662811.76</v>
      </c>
    </row>
    <row r="302" spans="1:13" ht="24" customHeight="1">
      <c r="A302" s="414" t="s">
        <v>1691</v>
      </c>
      <c r="B302" s="1109" t="s">
        <v>89</v>
      </c>
      <c r="E302" s="415" t="s">
        <v>179</v>
      </c>
      <c r="F302" s="398"/>
      <c r="G302" s="398">
        <v>2076292.96</v>
      </c>
      <c r="H302" s="398"/>
      <c r="I302" s="398">
        <v>714000</v>
      </c>
      <c r="J302" s="398"/>
      <c r="K302" s="398">
        <v>2076292.96</v>
      </c>
      <c r="L302" s="398"/>
      <c r="M302" s="398">
        <v>714000</v>
      </c>
    </row>
    <row r="303" spans="1:13" ht="24" customHeight="1">
      <c r="A303" s="414" t="s">
        <v>1692</v>
      </c>
      <c r="B303" s="1109" t="s">
        <v>90</v>
      </c>
      <c r="E303" s="1116" t="s">
        <v>824</v>
      </c>
      <c r="F303" s="1113"/>
      <c r="G303" s="398">
        <v>1030906.4</v>
      </c>
      <c r="H303" s="398"/>
      <c r="I303" s="398">
        <v>991950.4</v>
      </c>
      <c r="J303" s="398"/>
      <c r="K303" s="398">
        <v>1030906.4</v>
      </c>
      <c r="L303" s="400"/>
      <c r="M303" s="398">
        <v>991950.4</v>
      </c>
    </row>
    <row r="304" spans="1:13" ht="24" customHeight="1">
      <c r="A304" s="414" t="s">
        <v>1693</v>
      </c>
      <c r="B304" s="1109" t="s">
        <v>522</v>
      </c>
      <c r="E304" s="415" t="s">
        <v>178</v>
      </c>
      <c r="F304" s="401"/>
      <c r="G304" s="350">
        <f>2306438.85+75156.94</f>
        <v>2381595.79</v>
      </c>
      <c r="I304" s="398">
        <v>1622200.76</v>
      </c>
      <c r="J304" s="403"/>
      <c r="K304" s="350">
        <f>2306438.85+75156.94</f>
        <v>2381595.79</v>
      </c>
      <c r="L304" s="403"/>
      <c r="M304" s="398">
        <v>1622200.76</v>
      </c>
    </row>
    <row r="305" spans="1:13" ht="24" customHeight="1">
      <c r="A305" s="414"/>
      <c r="B305" s="1109"/>
      <c r="E305" s="389"/>
      <c r="F305" s="401"/>
      <c r="I305" s="398"/>
      <c r="J305" s="403"/>
      <c r="L305" s="403"/>
      <c r="M305" s="398"/>
    </row>
    <row r="306" spans="1:13" ht="24" customHeight="1">
      <c r="A306" s="414"/>
      <c r="B306" s="1109"/>
      <c r="E306" s="389"/>
      <c r="F306" s="401"/>
      <c r="I306" s="398"/>
      <c r="J306" s="403"/>
      <c r="L306" s="403"/>
      <c r="M306" s="398"/>
    </row>
    <row r="307" spans="1:13" s="1052" customFormat="1" ht="24" customHeight="1">
      <c r="A307" s="1009" t="s">
        <v>1649</v>
      </c>
      <c r="B307" s="1009"/>
      <c r="C307" s="1009"/>
      <c r="D307" s="1009"/>
      <c r="E307" s="1009"/>
      <c r="F307" s="1009"/>
      <c r="G307" s="1009"/>
      <c r="H307" s="1009"/>
      <c r="I307" s="1009"/>
      <c r="J307" s="1009"/>
      <c r="K307" s="1111"/>
      <c r="L307" s="1111"/>
      <c r="M307" s="1111"/>
    </row>
    <row r="308" spans="1:13" s="596" customFormat="1" ht="24" customHeight="1">
      <c r="A308" s="1029" t="s">
        <v>846</v>
      </c>
      <c r="B308" s="1029"/>
      <c r="C308" s="1029"/>
      <c r="D308" s="1029"/>
      <c r="E308" s="1029"/>
      <c r="F308" s="1029"/>
      <c r="G308" s="1029"/>
      <c r="H308" s="1029"/>
      <c r="I308" s="1029"/>
      <c r="J308" s="1029"/>
      <c r="K308" s="1110"/>
      <c r="L308" s="1110"/>
      <c r="M308" s="1110"/>
    </row>
    <row r="309" spans="1:13" ht="24" customHeight="1">
      <c r="A309" s="1098"/>
      <c r="B309" s="1098"/>
      <c r="C309" s="1098"/>
      <c r="D309" s="1098"/>
      <c r="E309" s="1098"/>
      <c r="F309" s="1098"/>
      <c r="G309" s="1098"/>
      <c r="H309" s="1098"/>
      <c r="I309" s="1098"/>
      <c r="J309" s="1098"/>
      <c r="K309" s="1098"/>
      <c r="L309" s="1098"/>
      <c r="M309" s="1098"/>
    </row>
    <row r="310" spans="1:13" s="350" customFormat="1" ht="24" customHeight="1">
      <c r="A310" s="1031" t="s">
        <v>1769</v>
      </c>
      <c r="B310" s="387"/>
      <c r="C310" s="387"/>
      <c r="D310" s="387"/>
      <c r="E310" s="387"/>
      <c r="F310" s="387"/>
      <c r="G310" s="387"/>
      <c r="H310" s="387"/>
      <c r="I310" s="387"/>
      <c r="J310" s="387"/>
      <c r="K310" s="387"/>
      <c r="L310" s="387"/>
      <c r="M310" s="387"/>
    </row>
    <row r="311" spans="1:18" s="400" customFormat="1" ht="24" customHeight="1">
      <c r="A311" s="388" t="s">
        <v>1777</v>
      </c>
      <c r="B311" s="387"/>
      <c r="C311" s="387"/>
      <c r="D311" s="387"/>
      <c r="E311" s="1099"/>
      <c r="F311" s="387"/>
      <c r="G311" s="387"/>
      <c r="H311" s="387"/>
      <c r="I311" s="387"/>
      <c r="J311" s="387"/>
      <c r="K311" s="387"/>
      <c r="L311" s="387"/>
      <c r="M311" s="387"/>
      <c r="R311" s="399"/>
    </row>
    <row r="312" spans="1:13" s="350" customFormat="1" ht="24" customHeight="1">
      <c r="A312" s="350" t="s">
        <v>372</v>
      </c>
      <c r="K312" s="306"/>
      <c r="L312" s="306"/>
      <c r="M312" s="390" t="s">
        <v>214</v>
      </c>
    </row>
    <row r="313" spans="2:13" s="350" customFormat="1" ht="24" customHeight="1">
      <c r="B313" s="352"/>
      <c r="C313" s="391"/>
      <c r="D313" s="391"/>
      <c r="E313" s="391"/>
      <c r="F313" s="351"/>
      <c r="G313" s="499"/>
      <c r="H313" s="500"/>
      <c r="I313" s="499" t="s">
        <v>1171</v>
      </c>
      <c r="J313" s="501"/>
      <c r="K313" s="502"/>
      <c r="L313" s="503"/>
      <c r="M313" s="504"/>
    </row>
    <row r="314" spans="2:13" s="350" customFormat="1" ht="24" customHeight="1">
      <c r="B314" s="352"/>
      <c r="C314" s="391"/>
      <c r="D314" s="391"/>
      <c r="E314" s="391"/>
      <c r="F314" s="351"/>
      <c r="G314" s="499" t="s">
        <v>541</v>
      </c>
      <c r="H314" s="500"/>
      <c r="I314" s="499" t="s">
        <v>1172</v>
      </c>
      <c r="J314" s="501"/>
      <c r="K314" s="1033" t="s">
        <v>126</v>
      </c>
      <c r="L314" s="503"/>
      <c r="M314" s="506"/>
    </row>
    <row r="315" spans="7:13" s="350" customFormat="1" ht="24" customHeight="1">
      <c r="G315" s="507"/>
      <c r="H315" s="1043"/>
      <c r="I315" s="507" t="s">
        <v>1173</v>
      </c>
      <c r="J315" s="501"/>
      <c r="K315" s="507"/>
      <c r="L315" s="507"/>
      <c r="M315" s="507"/>
    </row>
    <row r="316" spans="1:13" s="350" customFormat="1" ht="24" customHeight="1">
      <c r="A316" s="397"/>
      <c r="B316" s="398"/>
      <c r="E316" s="412"/>
      <c r="F316" s="398"/>
      <c r="G316" s="394" t="s">
        <v>898</v>
      </c>
      <c r="H316" s="395"/>
      <c r="I316" s="394" t="s">
        <v>747</v>
      </c>
      <c r="J316" s="393"/>
      <c r="K316" s="394" t="s">
        <v>898</v>
      </c>
      <c r="L316" s="395"/>
      <c r="M316" s="394" t="s">
        <v>747</v>
      </c>
    </row>
    <row r="317" spans="1:13" s="350" customFormat="1" ht="24" customHeight="1">
      <c r="A317" s="397"/>
      <c r="B317" s="398"/>
      <c r="E317" s="396" t="s">
        <v>351</v>
      </c>
      <c r="G317" s="394"/>
      <c r="H317" s="395"/>
      <c r="I317" s="394"/>
      <c r="J317" s="393"/>
      <c r="K317" s="394"/>
      <c r="L317" s="395"/>
      <c r="M317" s="394"/>
    </row>
    <row r="318" spans="1:13" ht="24" customHeight="1">
      <c r="A318" s="414" t="s">
        <v>1694</v>
      </c>
      <c r="B318" s="1109" t="s">
        <v>523</v>
      </c>
      <c r="E318" s="415" t="s">
        <v>182</v>
      </c>
      <c r="F318" s="398"/>
      <c r="G318" s="398">
        <v>5176916.4399999995</v>
      </c>
      <c r="H318" s="398"/>
      <c r="I318" s="398">
        <v>4285527.78</v>
      </c>
      <c r="J318" s="398"/>
      <c r="K318" s="398">
        <v>5176916.4399999995</v>
      </c>
      <c r="L318" s="398"/>
      <c r="M318" s="398">
        <v>4285527.78</v>
      </c>
    </row>
    <row r="319" spans="1:13" ht="24" customHeight="1">
      <c r="A319" s="414" t="s">
        <v>1695</v>
      </c>
      <c r="B319" s="1109" t="s">
        <v>530</v>
      </c>
      <c r="E319" s="415" t="s">
        <v>178</v>
      </c>
      <c r="F319" s="1113"/>
      <c r="G319" s="398">
        <v>3777</v>
      </c>
      <c r="H319" s="398"/>
      <c r="I319" s="398">
        <v>2730</v>
      </c>
      <c r="J319" s="398"/>
      <c r="K319" s="398">
        <v>213777</v>
      </c>
      <c r="L319" s="400"/>
      <c r="M319" s="398">
        <v>527730</v>
      </c>
    </row>
    <row r="320" spans="1:13" ht="24" customHeight="1">
      <c r="A320" s="414" t="s">
        <v>1696</v>
      </c>
      <c r="B320" s="1109" t="s">
        <v>561</v>
      </c>
      <c r="E320" s="415" t="s">
        <v>178</v>
      </c>
      <c r="F320" s="401"/>
      <c r="G320" s="350">
        <v>4275981</v>
      </c>
      <c r="I320" s="398">
        <v>3953241.56</v>
      </c>
      <c r="J320" s="403"/>
      <c r="K320" s="350">
        <v>4275981</v>
      </c>
      <c r="L320" s="403"/>
      <c r="M320" s="398">
        <v>3953241.56</v>
      </c>
    </row>
    <row r="321" spans="1:13" ht="24" customHeight="1">
      <c r="A321" s="414" t="s">
        <v>1697</v>
      </c>
      <c r="B321" s="1109" t="s">
        <v>531</v>
      </c>
      <c r="E321" s="1116" t="s">
        <v>817</v>
      </c>
      <c r="F321" s="1113"/>
      <c r="G321" s="398">
        <v>6581872</v>
      </c>
      <c r="H321" s="398"/>
      <c r="I321" s="398">
        <v>6526880</v>
      </c>
      <c r="J321" s="398"/>
      <c r="K321" s="398">
        <v>6581872</v>
      </c>
      <c r="L321" s="400"/>
      <c r="M321" s="398">
        <v>6526880</v>
      </c>
    </row>
    <row r="322" spans="1:13" ht="24" customHeight="1">
      <c r="A322" s="414" t="s">
        <v>1698</v>
      </c>
      <c r="B322" s="1109" t="s">
        <v>827</v>
      </c>
      <c r="E322" s="415" t="s">
        <v>233</v>
      </c>
      <c r="F322" s="401"/>
      <c r="G322" s="350">
        <v>2355012.75</v>
      </c>
      <c r="I322" s="398">
        <v>2285138.4000000004</v>
      </c>
      <c r="J322" s="403"/>
      <c r="K322" s="350">
        <v>2355012.75</v>
      </c>
      <c r="L322" s="403"/>
      <c r="M322" s="398">
        <v>2285138.4000000004</v>
      </c>
    </row>
    <row r="323" spans="1:13" ht="24" customHeight="1">
      <c r="A323" s="414" t="s">
        <v>1699</v>
      </c>
      <c r="B323" s="1109" t="s">
        <v>35</v>
      </c>
      <c r="E323" s="415" t="s">
        <v>178</v>
      </c>
      <c r="F323" s="1113"/>
      <c r="G323" s="398">
        <v>3433.5</v>
      </c>
      <c r="H323" s="398"/>
      <c r="I323" s="413">
        <v>0</v>
      </c>
      <c r="J323" s="398"/>
      <c r="K323" s="398">
        <v>1203433.5</v>
      </c>
      <c r="L323" s="400"/>
      <c r="M323" s="398">
        <v>1200000</v>
      </c>
    </row>
    <row r="324" spans="1:13" ht="24" customHeight="1">
      <c r="A324" s="414" t="s">
        <v>1700</v>
      </c>
      <c r="B324" s="1109" t="s">
        <v>823</v>
      </c>
      <c r="E324" s="1116" t="s">
        <v>824</v>
      </c>
      <c r="F324" s="398"/>
      <c r="G324" s="398">
        <v>28794638.710000005</v>
      </c>
      <c r="H324" s="398"/>
      <c r="I324" s="398">
        <v>29209437.490000002</v>
      </c>
      <c r="J324" s="398"/>
      <c r="K324" s="398">
        <v>28794638.710000005</v>
      </c>
      <c r="L324" s="398"/>
      <c r="M324" s="398">
        <v>29209437.490000002</v>
      </c>
    </row>
    <row r="325" spans="1:13" ht="24" customHeight="1">
      <c r="A325" s="414" t="s">
        <v>1701</v>
      </c>
      <c r="B325" s="1109" t="s">
        <v>36</v>
      </c>
      <c r="E325" s="415" t="s">
        <v>178</v>
      </c>
      <c r="F325" s="398"/>
      <c r="G325" s="398">
        <f>21283739.6+1500</f>
        <v>21285239.6</v>
      </c>
      <c r="H325" s="398"/>
      <c r="I325" s="398">
        <v>1253600.1</v>
      </c>
      <c r="J325" s="398"/>
      <c r="K325" s="398">
        <f>21283739.6+1500</f>
        <v>21285239.6</v>
      </c>
      <c r="L325" s="398"/>
      <c r="M325" s="398">
        <v>1253600.1</v>
      </c>
    </row>
    <row r="326" spans="1:13" ht="24" customHeight="1">
      <c r="A326" s="414" t="s">
        <v>1702</v>
      </c>
      <c r="B326" s="1109" t="s">
        <v>1703</v>
      </c>
      <c r="E326" s="415" t="s">
        <v>233</v>
      </c>
      <c r="F326" s="1113"/>
      <c r="G326" s="398">
        <v>5212612</v>
      </c>
      <c r="H326" s="398"/>
      <c r="I326" s="398">
        <v>550704.82</v>
      </c>
      <c r="J326" s="398"/>
      <c r="K326" s="398">
        <v>5212612</v>
      </c>
      <c r="L326" s="400"/>
      <c r="M326" s="398">
        <v>550704.82</v>
      </c>
    </row>
    <row r="327" spans="1:13" ht="24" customHeight="1">
      <c r="A327" s="414" t="s">
        <v>1704</v>
      </c>
      <c r="B327" s="1109" t="s">
        <v>839</v>
      </c>
      <c r="E327" s="1116" t="s">
        <v>817</v>
      </c>
      <c r="F327" s="401"/>
      <c r="G327" s="350">
        <v>6908608.93</v>
      </c>
      <c r="I327" s="398">
        <v>3160468.5799999996</v>
      </c>
      <c r="J327" s="403"/>
      <c r="K327" s="350">
        <v>6908608.93</v>
      </c>
      <c r="L327" s="403"/>
      <c r="M327" s="398">
        <v>3160468.5799999996</v>
      </c>
    </row>
    <row r="328" spans="1:13" ht="24" customHeight="1">
      <c r="A328" s="414" t="s">
        <v>1705</v>
      </c>
      <c r="B328" s="1109" t="s">
        <v>840</v>
      </c>
      <c r="E328" s="415" t="s">
        <v>233</v>
      </c>
      <c r="F328" s="398"/>
      <c r="G328" s="398">
        <v>1506927.8</v>
      </c>
      <c r="H328" s="398"/>
      <c r="I328" s="398">
        <v>1760888.79</v>
      </c>
      <c r="J328" s="398"/>
      <c r="K328" s="398">
        <v>1506927.8</v>
      </c>
      <c r="L328" s="398"/>
      <c r="M328" s="398">
        <v>1760888.79</v>
      </c>
    </row>
    <row r="329" spans="1:13" ht="24" customHeight="1">
      <c r="A329" s="414" t="s">
        <v>1706</v>
      </c>
      <c r="B329" s="1109" t="s">
        <v>841</v>
      </c>
      <c r="E329" s="415" t="s">
        <v>233</v>
      </c>
      <c r="F329" s="1113"/>
      <c r="G329" s="398">
        <v>2658339.06</v>
      </c>
      <c r="H329" s="398"/>
      <c r="I329" s="398">
        <v>2680747.8400000003</v>
      </c>
      <c r="J329" s="398"/>
      <c r="K329" s="398">
        <v>2658339.06</v>
      </c>
      <c r="L329" s="400"/>
      <c r="M329" s="398">
        <v>2680747.8400000003</v>
      </c>
    </row>
    <row r="330" spans="1:13" ht="24" customHeight="1">
      <c r="A330" s="414" t="s">
        <v>1707</v>
      </c>
      <c r="B330" s="1109" t="s">
        <v>1647</v>
      </c>
      <c r="E330" s="389"/>
      <c r="F330" s="401"/>
      <c r="I330" s="398"/>
      <c r="J330" s="403"/>
      <c r="L330" s="403"/>
      <c r="M330" s="398"/>
    </row>
    <row r="331" spans="1:13" ht="24" customHeight="1">
      <c r="A331" s="414"/>
      <c r="B331" s="1109" t="s">
        <v>1648</v>
      </c>
      <c r="E331" s="1116" t="s">
        <v>817</v>
      </c>
      <c r="F331" s="401"/>
      <c r="G331" s="350">
        <f>6417888.68+14018.69</f>
        <v>6431907.37</v>
      </c>
      <c r="I331" s="398">
        <v>6275405.350000001</v>
      </c>
      <c r="J331" s="403"/>
      <c r="K331" s="350">
        <f>6417888.68+14018.69</f>
        <v>6431907.37</v>
      </c>
      <c r="L331" s="403"/>
      <c r="M331" s="398">
        <v>6275405.350000001</v>
      </c>
    </row>
    <row r="332" spans="1:13" ht="24" customHeight="1">
      <c r="A332" s="414" t="s">
        <v>1708</v>
      </c>
      <c r="B332" s="1109" t="s">
        <v>842</v>
      </c>
      <c r="E332" s="1116" t="s">
        <v>817</v>
      </c>
      <c r="F332" s="398"/>
      <c r="G332" s="398">
        <v>2617618.59</v>
      </c>
      <c r="H332" s="398"/>
      <c r="I332" s="398">
        <v>2250009.18</v>
      </c>
      <c r="J332" s="398"/>
      <c r="K332" s="398">
        <v>2617618.59</v>
      </c>
      <c r="L332" s="398"/>
      <c r="M332" s="398">
        <v>2250009.18</v>
      </c>
    </row>
    <row r="333" spans="1:13" ht="24" customHeight="1">
      <c r="A333" s="414" t="s">
        <v>1709</v>
      </c>
      <c r="B333" s="1109" t="s">
        <v>825</v>
      </c>
      <c r="E333" s="415" t="s">
        <v>1305</v>
      </c>
      <c r="F333" s="1113"/>
      <c r="G333" s="398">
        <v>20780878.78</v>
      </c>
      <c r="H333" s="398"/>
      <c r="I333" s="398">
        <v>18608795.55</v>
      </c>
      <c r="J333" s="398"/>
      <c r="K333" s="398">
        <v>20780878.78</v>
      </c>
      <c r="L333" s="400"/>
      <c r="M333" s="398">
        <v>18608795.55</v>
      </c>
    </row>
    <row r="334" spans="1:13" ht="24" customHeight="1">
      <c r="A334" s="414" t="s">
        <v>1710</v>
      </c>
      <c r="B334" s="1109" t="s">
        <v>843</v>
      </c>
      <c r="E334" s="415" t="s">
        <v>228</v>
      </c>
      <c r="F334" s="401"/>
      <c r="G334" s="350">
        <v>893741.25</v>
      </c>
      <c r="I334" s="398">
        <v>638595.22</v>
      </c>
      <c r="J334" s="403"/>
      <c r="K334" s="350">
        <v>893741.25</v>
      </c>
      <c r="L334" s="403"/>
      <c r="M334" s="398">
        <v>638595.22</v>
      </c>
    </row>
    <row r="335" spans="1:13" ht="24" customHeight="1">
      <c r="A335" s="414" t="s">
        <v>1711</v>
      </c>
      <c r="B335" s="1109" t="s">
        <v>1712</v>
      </c>
      <c r="E335" s="415" t="s">
        <v>845</v>
      </c>
      <c r="F335" s="1113"/>
      <c r="G335" s="398">
        <v>558500</v>
      </c>
      <c r="H335" s="398"/>
      <c r="I335" s="398">
        <v>465000</v>
      </c>
      <c r="J335" s="398"/>
      <c r="K335" s="398">
        <v>558500</v>
      </c>
      <c r="L335" s="398"/>
      <c r="M335" s="398">
        <v>465000</v>
      </c>
    </row>
    <row r="336" spans="1:13" ht="24" customHeight="1">
      <c r="A336" s="414" t="s">
        <v>1713</v>
      </c>
      <c r="B336" s="1109" t="s">
        <v>1714</v>
      </c>
      <c r="E336" s="1116" t="s">
        <v>817</v>
      </c>
      <c r="G336" s="350">
        <v>522400</v>
      </c>
      <c r="I336" s="398">
        <v>356144</v>
      </c>
      <c r="J336" s="398"/>
      <c r="K336" s="398">
        <v>522400</v>
      </c>
      <c r="L336" s="398"/>
      <c r="M336" s="398">
        <v>356144</v>
      </c>
    </row>
    <row r="337" spans="1:13" ht="24" customHeight="1">
      <c r="A337" s="414" t="s">
        <v>1715</v>
      </c>
      <c r="B337" s="1109" t="s">
        <v>1652</v>
      </c>
      <c r="E337" s="415" t="s">
        <v>178</v>
      </c>
      <c r="G337" s="350">
        <v>7162423.66</v>
      </c>
      <c r="I337" s="398">
        <v>124500</v>
      </c>
      <c r="J337" s="398"/>
      <c r="K337" s="398">
        <v>7162423.66</v>
      </c>
      <c r="L337" s="398"/>
      <c r="M337" s="398">
        <v>124500</v>
      </c>
    </row>
    <row r="338" spans="1:13" ht="24" customHeight="1">
      <c r="A338" s="414" t="s">
        <v>1716</v>
      </c>
      <c r="B338" s="1109" t="s">
        <v>1653</v>
      </c>
      <c r="E338" s="415" t="s">
        <v>845</v>
      </c>
      <c r="G338" s="350">
        <v>1733391.87</v>
      </c>
      <c r="I338" s="398">
        <v>0</v>
      </c>
      <c r="J338" s="398"/>
      <c r="K338" s="398">
        <v>1733391.87</v>
      </c>
      <c r="L338" s="398"/>
      <c r="M338" s="398">
        <v>0</v>
      </c>
    </row>
    <row r="339" spans="1:13" ht="24" customHeight="1">
      <c r="A339" s="414" t="s">
        <v>1717</v>
      </c>
      <c r="B339" s="1109" t="s">
        <v>1657</v>
      </c>
      <c r="E339" s="415" t="s">
        <v>233</v>
      </c>
      <c r="G339" s="350">
        <f>554338.09+13200</f>
        <v>567538.09</v>
      </c>
      <c r="I339" s="398">
        <v>0</v>
      </c>
      <c r="J339" s="398"/>
      <c r="K339" s="398">
        <f>554338.09+13200</f>
        <v>567538.09</v>
      </c>
      <c r="L339" s="398"/>
      <c r="M339" s="398">
        <v>0</v>
      </c>
    </row>
    <row r="340" spans="1:13" ht="24" customHeight="1">
      <c r="A340" s="414" t="s">
        <v>1718</v>
      </c>
      <c r="B340" s="1109" t="s">
        <v>1719</v>
      </c>
      <c r="E340" s="393"/>
      <c r="G340" s="306"/>
      <c r="H340" s="306"/>
      <c r="I340" s="398"/>
      <c r="J340" s="398"/>
      <c r="K340" s="398"/>
      <c r="L340" s="398"/>
      <c r="M340" s="398"/>
    </row>
    <row r="341" spans="1:13" ht="24" customHeight="1">
      <c r="A341" s="414"/>
      <c r="B341" s="1109" t="s">
        <v>1720</v>
      </c>
      <c r="E341" s="393" t="s">
        <v>824</v>
      </c>
      <c r="G341" s="350">
        <v>1243620</v>
      </c>
      <c r="I341" s="398">
        <v>0</v>
      </c>
      <c r="J341" s="398"/>
      <c r="K341" s="398">
        <v>1243620</v>
      </c>
      <c r="L341" s="398"/>
      <c r="M341" s="398">
        <v>0</v>
      </c>
    </row>
    <row r="342" spans="1:13" ht="24" customHeight="1">
      <c r="A342" s="414" t="s">
        <v>1721</v>
      </c>
      <c r="B342" s="1109" t="s">
        <v>826</v>
      </c>
      <c r="E342" s="393"/>
      <c r="G342" s="350">
        <f>6963731.49+3943</f>
        <v>6967674.49</v>
      </c>
      <c r="I342" s="350">
        <f>5586869.78-465000-356144-124500+71500+21171.61+154065.6+239518.74</f>
        <v>5127481.73</v>
      </c>
      <c r="K342" s="350">
        <f>6963731.49+3943</f>
        <v>6967674.49</v>
      </c>
      <c r="M342" s="350">
        <f>5586869.78-465000-356144-124500+71500+394131.61+154065.6+239518.74</f>
        <v>5500441.73</v>
      </c>
    </row>
    <row r="343" spans="2:13" ht="24" customHeight="1" thickBot="1">
      <c r="B343" s="423" t="s">
        <v>212</v>
      </c>
      <c r="C343" s="424"/>
      <c r="G343" s="408">
        <f>SUM(G187:G342)</f>
        <v>2540703377.6500006</v>
      </c>
      <c r="I343" s="408">
        <f>SUM(I187:I342)</f>
        <v>2459636210.5699997</v>
      </c>
      <c r="K343" s="408">
        <f>SUM(K187:K342)</f>
        <v>3323258669.549999</v>
      </c>
      <c r="M343" s="408">
        <f>SUM(M187:M342)</f>
        <v>2968951810.87</v>
      </c>
    </row>
    <row r="344" ht="24" customHeight="1" thickTop="1"/>
    <row r="349" spans="1:13" s="1052" customFormat="1" ht="24" customHeight="1">
      <c r="A349" s="1009" t="s">
        <v>1649</v>
      </c>
      <c r="B349" s="1009"/>
      <c r="C349" s="1009"/>
      <c r="D349" s="1009"/>
      <c r="E349" s="1009"/>
      <c r="F349" s="1009"/>
      <c r="G349" s="1009"/>
      <c r="H349" s="1009"/>
      <c r="I349" s="1009"/>
      <c r="J349" s="1009"/>
      <c r="K349" s="1111"/>
      <c r="L349" s="1111"/>
      <c r="M349" s="1111"/>
    </row>
    <row r="353" spans="1:13" s="596" customFormat="1" ht="24" customHeight="1">
      <c r="A353" s="1029" t="s">
        <v>1723</v>
      </c>
      <c r="B353" s="1029"/>
      <c r="C353" s="1029"/>
      <c r="D353" s="1029"/>
      <c r="E353" s="1029"/>
      <c r="F353" s="1029"/>
      <c r="G353" s="1029"/>
      <c r="H353" s="1029"/>
      <c r="I353" s="1029"/>
      <c r="J353" s="1029"/>
      <c r="K353" s="1110"/>
      <c r="L353" s="1110"/>
      <c r="M353" s="1110"/>
    </row>
    <row r="354" spans="1:13" ht="24" customHeight="1">
      <c r="A354" s="1098"/>
      <c r="B354" s="1098"/>
      <c r="C354" s="1098"/>
      <c r="D354" s="1098"/>
      <c r="E354" s="1098"/>
      <c r="F354" s="1098"/>
      <c r="G354" s="1098"/>
      <c r="H354" s="1098"/>
      <c r="I354" s="1098"/>
      <c r="J354" s="1098"/>
      <c r="K354" s="1098"/>
      <c r="L354" s="1098"/>
      <c r="M354" s="1098"/>
    </row>
    <row r="355" spans="1:13" s="350" customFormat="1" ht="24" customHeight="1">
      <c r="A355" s="1031" t="s">
        <v>1769</v>
      </c>
      <c r="B355" s="387"/>
      <c r="C355" s="387"/>
      <c r="D355" s="387"/>
      <c r="E355" s="387"/>
      <c r="F355" s="387"/>
      <c r="G355" s="387"/>
      <c r="H355" s="387"/>
      <c r="I355" s="387"/>
      <c r="J355" s="387"/>
      <c r="K355" s="387"/>
      <c r="L355" s="387"/>
      <c r="M355" s="387"/>
    </row>
    <row r="356" spans="1:13" s="417" customFormat="1" ht="24" customHeight="1">
      <c r="A356" s="1115" t="s">
        <v>1778</v>
      </c>
      <c r="B356" s="420"/>
      <c r="C356" s="415"/>
      <c r="D356" s="422"/>
      <c r="E356" s="420"/>
      <c r="F356" s="420"/>
      <c r="G356" s="420"/>
      <c r="H356" s="420"/>
      <c r="I356" s="420"/>
      <c r="J356" s="420"/>
      <c r="K356" s="420"/>
      <c r="L356" s="420"/>
      <c r="M356" s="420"/>
    </row>
    <row r="357" spans="1:18" ht="24" customHeight="1">
      <c r="A357" s="409"/>
      <c r="B357" s="400" t="s">
        <v>1638</v>
      </c>
      <c r="C357" s="350" t="s">
        <v>1781</v>
      </c>
      <c r="G357" s="401"/>
      <c r="I357" s="398"/>
      <c r="J357" s="392"/>
      <c r="K357" s="398"/>
      <c r="L357" s="402"/>
      <c r="M357" s="398"/>
      <c r="R357" s="416"/>
    </row>
    <row r="358" spans="1:18" ht="24" customHeight="1">
      <c r="A358" s="306" t="s">
        <v>1916</v>
      </c>
      <c r="B358" s="306"/>
      <c r="C358" s="306"/>
      <c r="D358" s="306"/>
      <c r="E358" s="389"/>
      <c r="F358" s="389"/>
      <c r="G358" s="389"/>
      <c r="H358" s="410"/>
      <c r="I358" s="411"/>
      <c r="J358" s="411"/>
      <c r="K358" s="411"/>
      <c r="L358" s="411"/>
      <c r="M358" s="411"/>
      <c r="R358" s="416"/>
    </row>
    <row r="359" spans="1:13" ht="24" customHeight="1">
      <c r="A359" s="350" t="s">
        <v>372</v>
      </c>
      <c r="K359" s="306"/>
      <c r="L359" s="306"/>
      <c r="M359" s="390" t="s">
        <v>214</v>
      </c>
    </row>
    <row r="360" spans="2:13" ht="24" customHeight="1">
      <c r="B360" s="352"/>
      <c r="C360" s="391"/>
      <c r="D360" s="391"/>
      <c r="E360" s="391"/>
      <c r="F360" s="351"/>
      <c r="G360" s="499"/>
      <c r="H360" s="500"/>
      <c r="I360" s="499" t="s">
        <v>1171</v>
      </c>
      <c r="J360" s="501"/>
      <c r="K360" s="502"/>
      <c r="L360" s="503"/>
      <c r="M360" s="504"/>
    </row>
    <row r="361" spans="2:13" ht="24" customHeight="1">
      <c r="B361" s="352"/>
      <c r="C361" s="391"/>
      <c r="D361" s="391"/>
      <c r="E361" s="391"/>
      <c r="F361" s="351"/>
      <c r="G361" s="499" t="s">
        <v>541</v>
      </c>
      <c r="H361" s="500"/>
      <c r="I361" s="499" t="s">
        <v>1172</v>
      </c>
      <c r="J361" s="501"/>
      <c r="K361" s="1033" t="s">
        <v>126</v>
      </c>
      <c r="L361" s="503"/>
      <c r="M361" s="506"/>
    </row>
    <row r="362" spans="7:13" ht="24" customHeight="1">
      <c r="G362" s="507"/>
      <c r="H362" s="1043"/>
      <c r="I362" s="507" t="s">
        <v>1173</v>
      </c>
      <c r="J362" s="501"/>
      <c r="K362" s="507"/>
      <c r="L362" s="507"/>
      <c r="M362" s="507"/>
    </row>
    <row r="363" spans="1:13" ht="24" customHeight="1">
      <c r="A363" s="397"/>
      <c r="B363" s="398"/>
      <c r="E363" s="412"/>
      <c r="F363" s="398"/>
      <c r="G363" s="394" t="s">
        <v>898</v>
      </c>
      <c r="H363" s="395"/>
      <c r="I363" s="394" t="s">
        <v>747</v>
      </c>
      <c r="J363" s="393"/>
      <c r="K363" s="394" t="s">
        <v>898</v>
      </c>
      <c r="L363" s="395"/>
      <c r="M363" s="394" t="s">
        <v>747</v>
      </c>
    </row>
    <row r="364" spans="1:13" ht="24" customHeight="1">
      <c r="A364" s="397"/>
      <c r="B364" s="398"/>
      <c r="E364" s="396" t="s">
        <v>351</v>
      </c>
      <c r="G364" s="394"/>
      <c r="H364" s="395"/>
      <c r="I364" s="394"/>
      <c r="J364" s="393"/>
      <c r="K364" s="394"/>
      <c r="L364" s="395"/>
      <c r="M364" s="394"/>
    </row>
    <row r="365" spans="1:13" ht="24" customHeight="1">
      <c r="A365" s="397" t="s">
        <v>669</v>
      </c>
      <c r="B365" s="1109" t="s">
        <v>1641</v>
      </c>
      <c r="E365" s="415"/>
      <c r="F365" s="398"/>
      <c r="I365" s="398"/>
      <c r="J365" s="403"/>
      <c r="M365" s="398"/>
    </row>
    <row r="366" spans="1:13" ht="24" customHeight="1">
      <c r="A366" s="397"/>
      <c r="B366" s="1109" t="s">
        <v>1642</v>
      </c>
      <c r="C366" s="407"/>
      <c r="D366" s="407"/>
      <c r="E366" s="393" t="s">
        <v>178</v>
      </c>
      <c r="F366" s="398"/>
      <c r="G366" s="350">
        <f>27669.64-19001.71</f>
        <v>8667.93</v>
      </c>
      <c r="I366" s="398">
        <v>1149598.9</v>
      </c>
      <c r="J366" s="403"/>
      <c r="K366" s="350">
        <f>27669.64-19001.71</f>
        <v>8667.93</v>
      </c>
      <c r="M366" s="398">
        <v>1149598.9</v>
      </c>
    </row>
    <row r="367" spans="1:13" ht="24" customHeight="1">
      <c r="A367" s="397" t="s">
        <v>671</v>
      </c>
      <c r="B367" s="1109" t="s">
        <v>701</v>
      </c>
      <c r="C367" s="405"/>
      <c r="D367" s="405"/>
      <c r="E367" s="393" t="s">
        <v>233</v>
      </c>
      <c r="F367" s="397"/>
      <c r="G367" s="350">
        <v>1244811.58</v>
      </c>
      <c r="I367" s="398">
        <v>683646</v>
      </c>
      <c r="J367" s="403"/>
      <c r="K367" s="350">
        <v>1244811.58</v>
      </c>
      <c r="M367" s="398">
        <v>683646</v>
      </c>
    </row>
    <row r="368" spans="1:13" ht="24" customHeight="1">
      <c r="A368" s="397" t="s">
        <v>673</v>
      </c>
      <c r="B368" s="1109" t="s">
        <v>1651</v>
      </c>
      <c r="C368" s="389"/>
      <c r="D368" s="389"/>
      <c r="E368" s="393" t="s">
        <v>233</v>
      </c>
      <c r="F368" s="401"/>
      <c r="G368" s="350">
        <v>79831012.62</v>
      </c>
      <c r="I368" s="398">
        <v>71849323.53999999</v>
      </c>
      <c r="J368" s="403"/>
      <c r="K368" s="350">
        <v>79831012.62</v>
      </c>
      <c r="M368" s="398">
        <v>71849323.53999999</v>
      </c>
    </row>
    <row r="369" spans="1:13" ht="24" customHeight="1">
      <c r="A369" s="397" t="s">
        <v>675</v>
      </c>
      <c r="B369" s="1109" t="s">
        <v>702</v>
      </c>
      <c r="E369" s="393" t="s">
        <v>233</v>
      </c>
      <c r="F369" s="1113"/>
      <c r="G369" s="398">
        <f>1742201044.79-10141845.43-1530746.37</f>
        <v>1730528452.99</v>
      </c>
      <c r="H369" s="398"/>
      <c r="I369" s="398">
        <v>1721732003.46</v>
      </c>
      <c r="J369" s="398"/>
      <c r="K369" s="398">
        <f>1742201044.79-10141845.43-1530746.37</f>
        <v>1730528452.99</v>
      </c>
      <c r="L369" s="398"/>
      <c r="M369" s="398">
        <v>1721732003.46</v>
      </c>
    </row>
    <row r="370" spans="1:13" ht="24" customHeight="1">
      <c r="A370" s="397" t="s">
        <v>677</v>
      </c>
      <c r="B370" s="1109" t="s">
        <v>839</v>
      </c>
      <c r="E370" s="389" t="s">
        <v>817</v>
      </c>
      <c r="F370" s="401"/>
      <c r="G370" s="350">
        <v>52143563.25</v>
      </c>
      <c r="I370" s="398">
        <v>65671427.54000001</v>
      </c>
      <c r="J370" s="403"/>
      <c r="K370" s="350">
        <v>52143563.25</v>
      </c>
      <c r="M370" s="398">
        <v>65671427.54000001</v>
      </c>
    </row>
    <row r="371" spans="1:13" ht="24" customHeight="1">
      <c r="A371" s="397" t="s">
        <v>678</v>
      </c>
      <c r="B371" s="1109" t="s">
        <v>746</v>
      </c>
      <c r="E371" s="393" t="s">
        <v>179</v>
      </c>
      <c r="F371" s="1113"/>
      <c r="G371" s="398">
        <v>1280787.6699999997</v>
      </c>
      <c r="H371" s="398"/>
      <c r="I371" s="398">
        <v>523868.64</v>
      </c>
      <c r="J371" s="398"/>
      <c r="K371" s="398">
        <v>1280787.6699999997</v>
      </c>
      <c r="L371" s="398"/>
      <c r="M371" s="398">
        <v>523868.64</v>
      </c>
    </row>
    <row r="372" spans="1:13" ht="24" customHeight="1">
      <c r="A372" s="397" t="s">
        <v>680</v>
      </c>
      <c r="B372" s="1109" t="s">
        <v>717</v>
      </c>
      <c r="E372" s="389" t="s">
        <v>817</v>
      </c>
      <c r="F372" s="401"/>
      <c r="G372" s="350">
        <v>956359.81</v>
      </c>
      <c r="I372" s="398">
        <v>865013.39</v>
      </c>
      <c r="J372" s="403"/>
      <c r="K372" s="350">
        <v>956359.81</v>
      </c>
      <c r="M372" s="398">
        <v>865013.39</v>
      </c>
    </row>
    <row r="373" spans="1:13" ht="24" customHeight="1">
      <c r="A373" s="397" t="s">
        <v>30</v>
      </c>
      <c r="B373" s="1109" t="s">
        <v>844</v>
      </c>
      <c r="E373" s="389" t="s">
        <v>817</v>
      </c>
      <c r="G373" s="350">
        <v>27641572.66999999</v>
      </c>
      <c r="I373" s="398">
        <v>13932156.620000001</v>
      </c>
      <c r="J373" s="398"/>
      <c r="K373" s="350">
        <v>27641572.66999999</v>
      </c>
      <c r="M373" s="398">
        <v>13932156.620000001</v>
      </c>
    </row>
    <row r="374" spans="1:13" ht="24" customHeight="1">
      <c r="A374" s="397" t="s">
        <v>39</v>
      </c>
      <c r="B374" s="418" t="s">
        <v>1724</v>
      </c>
      <c r="E374" s="393"/>
      <c r="I374" s="398"/>
      <c r="J374" s="398"/>
      <c r="M374" s="398"/>
    </row>
    <row r="375" spans="1:13" ht="24" customHeight="1">
      <c r="A375" s="414"/>
      <c r="B375" s="1109" t="s">
        <v>1725</v>
      </c>
      <c r="E375" s="393" t="s">
        <v>817</v>
      </c>
      <c r="G375" s="350">
        <v>0</v>
      </c>
      <c r="I375" s="398">
        <v>2011600</v>
      </c>
      <c r="J375" s="398"/>
      <c r="K375" s="350">
        <v>0</v>
      </c>
      <c r="M375" s="398">
        <v>2011600</v>
      </c>
    </row>
    <row r="376" spans="1:13" ht="24" customHeight="1">
      <c r="A376" s="397" t="s">
        <v>42</v>
      </c>
      <c r="B376" s="1109" t="s">
        <v>826</v>
      </c>
      <c r="G376" s="350">
        <f>1147534.75+46710.3</f>
        <v>1194245.05</v>
      </c>
      <c r="I376" s="350">
        <v>1372157.84</v>
      </c>
      <c r="K376" s="350">
        <f>1147534.75+46710.3</f>
        <v>1194245.05</v>
      </c>
      <c r="M376" s="350">
        <v>1372157.84</v>
      </c>
    </row>
    <row r="377" spans="2:13" ht="24" customHeight="1" thickBot="1">
      <c r="B377" s="423" t="s">
        <v>212</v>
      </c>
      <c r="C377" s="424"/>
      <c r="G377" s="408">
        <f>SUM(G365:G376)</f>
        <v>1894829473.5700002</v>
      </c>
      <c r="I377" s="408">
        <f>SUM(I365:I376)</f>
        <v>1879790795.93</v>
      </c>
      <c r="K377" s="408">
        <f>SUM(K365:K376)</f>
        <v>1894829473.5700002</v>
      </c>
      <c r="M377" s="408">
        <f>SUM(M365:M376)</f>
        <v>1879790795.93</v>
      </c>
    </row>
    <row r="378" ht="24" customHeight="1" thickTop="1"/>
    <row r="379" spans="1:13" s="417" customFormat="1" ht="24" customHeight="1">
      <c r="A379" s="1115" t="s">
        <v>1779</v>
      </c>
      <c r="B379" s="420"/>
      <c r="C379" s="415"/>
      <c r="D379" s="422"/>
      <c r="E379" s="420"/>
      <c r="F379" s="420"/>
      <c r="G379" s="420"/>
      <c r="H379" s="420"/>
      <c r="I379" s="420"/>
      <c r="J379" s="420"/>
      <c r="K379" s="420"/>
      <c r="L379" s="420"/>
      <c r="M379" s="420"/>
    </row>
    <row r="380" spans="1:18" ht="24" customHeight="1">
      <c r="A380" s="409"/>
      <c r="B380" s="400" t="s">
        <v>1638</v>
      </c>
      <c r="C380" s="350" t="s">
        <v>1782</v>
      </c>
      <c r="G380" s="401"/>
      <c r="I380" s="398"/>
      <c r="J380" s="392"/>
      <c r="K380" s="398"/>
      <c r="L380" s="402"/>
      <c r="M380" s="398"/>
      <c r="R380" s="416"/>
    </row>
    <row r="381" spans="1:18" ht="24" customHeight="1">
      <c r="A381" s="306" t="s">
        <v>1886</v>
      </c>
      <c r="B381" s="306"/>
      <c r="C381" s="306"/>
      <c r="D381" s="306"/>
      <c r="E381" s="389"/>
      <c r="F381" s="389"/>
      <c r="G381" s="389"/>
      <c r="H381" s="410"/>
      <c r="I381" s="411"/>
      <c r="J381" s="411"/>
      <c r="K381" s="411"/>
      <c r="L381" s="411"/>
      <c r="M381" s="411"/>
      <c r="R381" s="416"/>
    </row>
    <row r="382" spans="1:13" ht="24" customHeight="1">
      <c r="A382" s="350" t="s">
        <v>372</v>
      </c>
      <c r="K382" s="306"/>
      <c r="L382" s="306"/>
      <c r="M382" s="390" t="s">
        <v>214</v>
      </c>
    </row>
    <row r="383" spans="2:13" ht="24" customHeight="1">
      <c r="B383" s="352"/>
      <c r="C383" s="391"/>
      <c r="D383" s="391"/>
      <c r="E383" s="391"/>
      <c r="F383" s="351"/>
      <c r="G383" s="499"/>
      <c r="H383" s="500"/>
      <c r="I383" s="499" t="s">
        <v>1171</v>
      </c>
      <c r="J383" s="501"/>
      <c r="K383" s="502"/>
      <c r="L383" s="503"/>
      <c r="M383" s="504"/>
    </row>
    <row r="384" spans="2:13" ht="24" customHeight="1">
      <c r="B384" s="352"/>
      <c r="C384" s="391"/>
      <c r="D384" s="391"/>
      <c r="E384" s="391"/>
      <c r="F384" s="351"/>
      <c r="G384" s="499" t="s">
        <v>541</v>
      </c>
      <c r="H384" s="500"/>
      <c r="I384" s="499" t="s">
        <v>1172</v>
      </c>
      <c r="J384" s="501"/>
      <c r="K384" s="1033" t="s">
        <v>126</v>
      </c>
      <c r="L384" s="503"/>
      <c r="M384" s="506"/>
    </row>
    <row r="385" spans="7:13" ht="24" customHeight="1">
      <c r="G385" s="507"/>
      <c r="H385" s="1043"/>
      <c r="I385" s="507" t="s">
        <v>1173</v>
      </c>
      <c r="J385" s="501"/>
      <c r="K385" s="507"/>
      <c r="L385" s="507"/>
      <c r="M385" s="507"/>
    </row>
    <row r="386" spans="1:13" ht="24" customHeight="1">
      <c r="A386" s="397"/>
      <c r="B386" s="398"/>
      <c r="E386" s="412"/>
      <c r="F386" s="398"/>
      <c r="G386" s="394" t="s">
        <v>898</v>
      </c>
      <c r="H386" s="395"/>
      <c r="I386" s="394" t="s">
        <v>747</v>
      </c>
      <c r="J386" s="393"/>
      <c r="K386" s="394" t="s">
        <v>898</v>
      </c>
      <c r="L386" s="395"/>
      <c r="M386" s="394" t="s">
        <v>747</v>
      </c>
    </row>
    <row r="387" spans="1:13" ht="24" customHeight="1">
      <c r="A387" s="397"/>
      <c r="B387" s="398"/>
      <c r="E387" s="396" t="s">
        <v>351</v>
      </c>
      <c r="G387" s="394"/>
      <c r="H387" s="395"/>
      <c r="I387" s="394"/>
      <c r="J387" s="393"/>
      <c r="K387" s="394"/>
      <c r="L387" s="395"/>
      <c r="M387" s="394"/>
    </row>
    <row r="388" spans="1:13" ht="24" customHeight="1">
      <c r="A388" s="405" t="s">
        <v>669</v>
      </c>
      <c r="B388" s="350" t="s">
        <v>701</v>
      </c>
      <c r="E388" s="393" t="s">
        <v>178</v>
      </c>
      <c r="G388" s="350">
        <v>103624583.9</v>
      </c>
      <c r="I388" s="350">
        <v>77533276.92999999</v>
      </c>
      <c r="K388" s="350">
        <v>103624583.9</v>
      </c>
      <c r="M388" s="350">
        <v>77533276.92999999</v>
      </c>
    </row>
    <row r="389" spans="1:13" ht="24" customHeight="1">
      <c r="A389" s="405" t="s">
        <v>671</v>
      </c>
      <c r="B389" s="1109" t="s">
        <v>1651</v>
      </c>
      <c r="E389" s="393" t="s">
        <v>233</v>
      </c>
      <c r="G389" s="350">
        <v>85525389</v>
      </c>
      <c r="I389" s="350">
        <v>3227929.5</v>
      </c>
      <c r="K389" s="350">
        <v>85525389</v>
      </c>
      <c r="M389" s="350">
        <v>3227929.5</v>
      </c>
    </row>
    <row r="390" spans="1:13" ht="24" customHeight="1">
      <c r="A390" s="405" t="s">
        <v>673</v>
      </c>
      <c r="B390" s="1109" t="s">
        <v>1726</v>
      </c>
      <c r="E390" s="393" t="s">
        <v>817</v>
      </c>
      <c r="G390" s="350">
        <v>1676265</v>
      </c>
      <c r="I390" s="350">
        <v>0</v>
      </c>
      <c r="K390" s="350">
        <v>1676265</v>
      </c>
      <c r="M390" s="350">
        <v>0</v>
      </c>
    </row>
    <row r="391" spans="1:13" ht="24" customHeight="1">
      <c r="A391" s="405" t="s">
        <v>675</v>
      </c>
      <c r="B391" s="350" t="s">
        <v>826</v>
      </c>
      <c r="E391" s="393"/>
      <c r="G391" s="350">
        <v>348012.17000000004</v>
      </c>
      <c r="I391" s="350">
        <v>409405.54000000004</v>
      </c>
      <c r="K391" s="350">
        <v>348012.17000000004</v>
      </c>
      <c r="M391" s="350">
        <v>409405.54000000004</v>
      </c>
    </row>
    <row r="392" spans="2:13" ht="24" customHeight="1" thickBot="1">
      <c r="B392" s="423" t="s">
        <v>212</v>
      </c>
      <c r="C392" s="424"/>
      <c r="G392" s="408">
        <f>SUM(G388:G391)</f>
        <v>191174250.07</v>
      </c>
      <c r="I392" s="408">
        <f>SUM(I388:I391)</f>
        <v>81170611.97</v>
      </c>
      <c r="K392" s="408">
        <f>SUM(K388:K391)</f>
        <v>191174250.07</v>
      </c>
      <c r="M392" s="408">
        <f>SUM(M388:M391)</f>
        <v>81170611.97</v>
      </c>
    </row>
    <row r="393" ht="24" customHeight="1" thickTop="1"/>
    <row r="395" spans="1:13" s="1052" customFormat="1" ht="24" customHeight="1">
      <c r="A395" s="1009" t="s">
        <v>1649</v>
      </c>
      <c r="B395" s="1009"/>
      <c r="C395" s="1009"/>
      <c r="D395" s="1009"/>
      <c r="E395" s="1009"/>
      <c r="F395" s="1009"/>
      <c r="G395" s="1009"/>
      <c r="H395" s="1009"/>
      <c r="I395" s="1009"/>
      <c r="J395" s="1009"/>
      <c r="K395" s="1111"/>
      <c r="L395" s="1111"/>
      <c r="M395" s="1111"/>
    </row>
    <row r="397" spans="1:13" s="596" customFormat="1" ht="24" customHeight="1">
      <c r="A397" s="1029" t="s">
        <v>1728</v>
      </c>
      <c r="B397" s="1029"/>
      <c r="C397" s="1029"/>
      <c r="D397" s="1029"/>
      <c r="E397" s="1029"/>
      <c r="F397" s="1029"/>
      <c r="G397" s="1029"/>
      <c r="H397" s="1029"/>
      <c r="I397" s="1029"/>
      <c r="J397" s="1029"/>
      <c r="K397" s="1110"/>
      <c r="L397" s="1110"/>
      <c r="M397" s="1110"/>
    </row>
    <row r="398" spans="1:13" ht="11.25" customHeight="1">
      <c r="A398" s="1098"/>
      <c r="B398" s="1098"/>
      <c r="C398" s="1098"/>
      <c r="D398" s="1098"/>
      <c r="E398" s="1098"/>
      <c r="F398" s="1098"/>
      <c r="G398" s="1098"/>
      <c r="H398" s="1098"/>
      <c r="I398" s="1098"/>
      <c r="J398" s="1098"/>
      <c r="K398" s="1098"/>
      <c r="L398" s="1098"/>
      <c r="M398" s="1098"/>
    </row>
    <row r="399" spans="1:13" s="350" customFormat="1" ht="24" customHeight="1">
      <c r="A399" s="1031" t="s">
        <v>1769</v>
      </c>
      <c r="B399" s="387"/>
      <c r="C399" s="387"/>
      <c r="D399" s="387"/>
      <c r="E399" s="387"/>
      <c r="F399" s="387"/>
      <c r="G399" s="387"/>
      <c r="H399" s="387"/>
      <c r="I399" s="387"/>
      <c r="J399" s="387"/>
      <c r="K399" s="387"/>
      <c r="L399" s="387"/>
      <c r="M399" s="387"/>
    </row>
    <row r="400" ht="12" customHeight="1"/>
    <row r="401" spans="1:13" ht="24" customHeight="1">
      <c r="A401" s="1115" t="s">
        <v>1780</v>
      </c>
      <c r="B401" s="420"/>
      <c r="C401" s="415"/>
      <c r="D401" s="422"/>
      <c r="E401" s="420"/>
      <c r="F401" s="420"/>
      <c r="G401" s="420"/>
      <c r="H401" s="420"/>
      <c r="I401" s="420"/>
      <c r="J401" s="420"/>
      <c r="K401" s="420"/>
      <c r="L401" s="420"/>
      <c r="M401" s="420"/>
    </row>
    <row r="402" spans="1:13" ht="24" customHeight="1">
      <c r="A402" s="409"/>
      <c r="B402" s="400" t="s">
        <v>1638</v>
      </c>
      <c r="C402" s="350" t="s">
        <v>1887</v>
      </c>
      <c r="G402" s="401"/>
      <c r="I402" s="398"/>
      <c r="J402" s="392"/>
      <c r="K402" s="398"/>
      <c r="L402" s="402"/>
      <c r="M402" s="398"/>
    </row>
    <row r="403" spans="1:13" ht="24" customHeight="1">
      <c r="A403" s="306" t="s">
        <v>1913</v>
      </c>
      <c r="B403" s="306"/>
      <c r="C403" s="306"/>
      <c r="D403" s="306"/>
      <c r="E403" s="389"/>
      <c r="F403" s="389"/>
      <c r="G403" s="389"/>
      <c r="H403" s="410"/>
      <c r="I403" s="411"/>
      <c r="J403" s="411"/>
      <c r="K403" s="411"/>
      <c r="L403" s="411"/>
      <c r="M403" s="411"/>
    </row>
    <row r="404" spans="1:13" ht="24" customHeight="1">
      <c r="A404" s="350" t="s">
        <v>372</v>
      </c>
      <c r="K404" s="306"/>
      <c r="L404" s="306"/>
      <c r="M404" s="390" t="s">
        <v>214</v>
      </c>
    </row>
    <row r="405" spans="2:13" ht="24" customHeight="1">
      <c r="B405" s="352"/>
      <c r="C405" s="391"/>
      <c r="D405" s="391"/>
      <c r="E405" s="391"/>
      <c r="F405" s="351"/>
      <c r="G405" s="499"/>
      <c r="H405" s="500"/>
      <c r="I405" s="499" t="s">
        <v>1171</v>
      </c>
      <c r="J405" s="501"/>
      <c r="K405" s="502"/>
      <c r="L405" s="503"/>
      <c r="M405" s="504"/>
    </row>
    <row r="406" spans="2:13" ht="24" customHeight="1">
      <c r="B406" s="352"/>
      <c r="C406" s="391"/>
      <c r="D406" s="391"/>
      <c r="E406" s="391"/>
      <c r="F406" s="351"/>
      <c r="G406" s="499" t="s">
        <v>541</v>
      </c>
      <c r="H406" s="500"/>
      <c r="I406" s="499" t="s">
        <v>1172</v>
      </c>
      <c r="J406" s="501"/>
      <c r="K406" s="1033" t="s">
        <v>126</v>
      </c>
      <c r="L406" s="503"/>
      <c r="M406" s="506"/>
    </row>
    <row r="407" spans="7:13" ht="24" customHeight="1">
      <c r="G407" s="507"/>
      <c r="H407" s="1043"/>
      <c r="I407" s="507" t="s">
        <v>1173</v>
      </c>
      <c r="J407" s="501"/>
      <c r="K407" s="507"/>
      <c r="L407" s="507"/>
      <c r="M407" s="507"/>
    </row>
    <row r="408" spans="1:13" ht="24" customHeight="1">
      <c r="A408" s="397"/>
      <c r="B408" s="398"/>
      <c r="E408" s="412"/>
      <c r="F408" s="398"/>
      <c r="G408" s="394" t="s">
        <v>898</v>
      </c>
      <c r="H408" s="395"/>
      <c r="I408" s="394" t="s">
        <v>747</v>
      </c>
      <c r="J408" s="393"/>
      <c r="K408" s="394" t="s">
        <v>898</v>
      </c>
      <c r="L408" s="395"/>
      <c r="M408" s="394" t="s">
        <v>747</v>
      </c>
    </row>
    <row r="409" spans="1:13" ht="24" customHeight="1">
      <c r="A409" s="397"/>
      <c r="B409" s="398"/>
      <c r="E409" s="396" t="s">
        <v>351</v>
      </c>
      <c r="G409" s="394"/>
      <c r="H409" s="395"/>
      <c r="I409" s="394"/>
      <c r="J409" s="393"/>
      <c r="K409" s="394"/>
      <c r="L409" s="395"/>
      <c r="M409" s="394"/>
    </row>
    <row r="410" spans="1:13" ht="24" customHeight="1">
      <c r="A410" s="397" t="s">
        <v>669</v>
      </c>
      <c r="B410" s="1109" t="s">
        <v>704</v>
      </c>
      <c r="E410" s="393" t="s">
        <v>178</v>
      </c>
      <c r="G410" s="350">
        <f>4072607.41+1410178.93</f>
        <v>5482786.34</v>
      </c>
      <c r="I410" s="350">
        <v>3204440.4699999997</v>
      </c>
      <c r="K410" s="350">
        <f>4072607.41+1410178.93</f>
        <v>5482786.34</v>
      </c>
      <c r="M410" s="350">
        <v>3204440.4699999997</v>
      </c>
    </row>
    <row r="411" spans="1:5" ht="24" customHeight="1">
      <c r="A411" s="397" t="s">
        <v>671</v>
      </c>
      <c r="B411" s="1109" t="s">
        <v>1641</v>
      </c>
      <c r="E411" s="393"/>
    </row>
    <row r="412" spans="1:13" ht="24" customHeight="1">
      <c r="A412" s="397"/>
      <c r="B412" s="1109" t="s">
        <v>1642</v>
      </c>
      <c r="E412" s="393" t="s">
        <v>178</v>
      </c>
      <c r="G412" s="350">
        <f>5333764.52+19001.71</f>
        <v>5352766.2299999995</v>
      </c>
      <c r="I412" s="350">
        <v>2904473.54</v>
      </c>
      <c r="K412" s="350">
        <f>5333764.52+19001.71</f>
        <v>5352766.2299999995</v>
      </c>
      <c r="M412" s="350">
        <v>2904473.54</v>
      </c>
    </row>
    <row r="413" spans="1:13" ht="24" customHeight="1">
      <c r="A413" s="397" t="s">
        <v>673</v>
      </c>
      <c r="B413" s="1109" t="s">
        <v>701</v>
      </c>
      <c r="E413" s="393" t="s">
        <v>182</v>
      </c>
      <c r="G413" s="350">
        <v>5213842.47</v>
      </c>
      <c r="I413" s="350">
        <v>4279287.290000001</v>
      </c>
      <c r="K413" s="350">
        <v>5213842.47</v>
      </c>
      <c r="M413" s="350">
        <v>4279287.290000001</v>
      </c>
    </row>
    <row r="414" spans="1:13" ht="24" customHeight="1">
      <c r="A414" s="397" t="s">
        <v>675</v>
      </c>
      <c r="B414" s="1109" t="s">
        <v>1651</v>
      </c>
      <c r="E414" s="393" t="s">
        <v>233</v>
      </c>
      <c r="G414" s="350">
        <v>16385421.01</v>
      </c>
      <c r="I414" s="350">
        <v>12962694.05</v>
      </c>
      <c r="K414" s="350">
        <v>16385421.01</v>
      </c>
      <c r="M414" s="350">
        <v>12962694.05</v>
      </c>
    </row>
    <row r="415" spans="1:13" ht="24" customHeight="1">
      <c r="A415" s="397" t="s">
        <v>677</v>
      </c>
      <c r="B415" s="1119" t="s">
        <v>745</v>
      </c>
      <c r="E415" s="393" t="s">
        <v>845</v>
      </c>
      <c r="G415" s="350">
        <v>265829.05</v>
      </c>
      <c r="I415" s="350">
        <v>1320000</v>
      </c>
      <c r="K415" s="350">
        <v>265829.05</v>
      </c>
      <c r="M415" s="350">
        <v>1320000</v>
      </c>
    </row>
    <row r="416" spans="1:13" ht="24" customHeight="1">
      <c r="A416" s="397" t="s">
        <v>678</v>
      </c>
      <c r="B416" s="1119" t="s">
        <v>700</v>
      </c>
      <c r="E416" s="393" t="s">
        <v>817</v>
      </c>
      <c r="G416" s="350">
        <v>45532549.400000006</v>
      </c>
      <c r="I416" s="350">
        <v>42111952.41000001</v>
      </c>
      <c r="K416" s="350">
        <v>45532549.400000006</v>
      </c>
      <c r="M416" s="350">
        <v>42111952.41000001</v>
      </c>
    </row>
    <row r="417" spans="1:13" ht="24" customHeight="1">
      <c r="A417" s="397" t="s">
        <v>680</v>
      </c>
      <c r="B417" s="1119" t="s">
        <v>561</v>
      </c>
      <c r="E417" s="393" t="s">
        <v>178</v>
      </c>
      <c r="G417" s="350">
        <v>2568000</v>
      </c>
      <c r="I417" s="350">
        <v>2568000</v>
      </c>
      <c r="K417" s="350">
        <v>2568000</v>
      </c>
      <c r="M417" s="350">
        <v>2568000</v>
      </c>
    </row>
    <row r="418" spans="1:13" ht="24" customHeight="1">
      <c r="A418" s="397" t="s">
        <v>30</v>
      </c>
      <c r="B418" s="1119" t="s">
        <v>717</v>
      </c>
      <c r="E418" s="393" t="s">
        <v>817</v>
      </c>
      <c r="G418" s="350">
        <f>3068055.67+12703.15</f>
        <v>3080758.82</v>
      </c>
      <c r="I418" s="350">
        <v>2265040.87</v>
      </c>
      <c r="K418" s="350">
        <f>3068055.67+12703.15</f>
        <v>3080758.82</v>
      </c>
      <c r="M418" s="350">
        <v>2265040.87</v>
      </c>
    </row>
    <row r="419" spans="1:13" ht="24" customHeight="1">
      <c r="A419" s="397" t="s">
        <v>39</v>
      </c>
      <c r="B419" s="1119" t="s">
        <v>87</v>
      </c>
      <c r="E419" s="393" t="s">
        <v>178</v>
      </c>
      <c r="G419" s="350">
        <v>1221467</v>
      </c>
      <c r="I419" s="350">
        <v>661971</v>
      </c>
      <c r="K419" s="350">
        <v>1221467</v>
      </c>
      <c r="M419" s="350">
        <v>661971</v>
      </c>
    </row>
    <row r="420" spans="1:13" ht="24" customHeight="1">
      <c r="A420" s="397" t="s">
        <v>42</v>
      </c>
      <c r="B420" s="1109" t="s">
        <v>530</v>
      </c>
      <c r="E420" s="393" t="s">
        <v>178</v>
      </c>
      <c r="G420" s="350">
        <f>656042.82+117000</f>
        <v>773042.82</v>
      </c>
      <c r="I420" s="350">
        <v>585000</v>
      </c>
      <c r="K420" s="350">
        <v>773042.82</v>
      </c>
      <c r="M420" s="350">
        <v>585000</v>
      </c>
    </row>
    <row r="421" spans="1:13" ht="24" customHeight="1">
      <c r="A421" s="397" t="s">
        <v>43</v>
      </c>
      <c r="B421" s="1109" t="s">
        <v>702</v>
      </c>
      <c r="E421" s="393" t="s">
        <v>233</v>
      </c>
      <c r="G421" s="350">
        <f>2812988.21+1530746.37</f>
        <v>4343734.58</v>
      </c>
      <c r="I421" s="350">
        <v>0</v>
      </c>
      <c r="K421" s="350">
        <f>2812988.21+1530746.37</f>
        <v>4343734.58</v>
      </c>
      <c r="M421" s="350">
        <v>0</v>
      </c>
    </row>
    <row r="422" spans="1:13" ht="24" customHeight="1">
      <c r="A422" s="397" t="s">
        <v>44</v>
      </c>
      <c r="B422" s="1109" t="s">
        <v>844</v>
      </c>
      <c r="E422" s="393" t="s">
        <v>817</v>
      </c>
      <c r="G422" s="350">
        <v>937450.6599999999</v>
      </c>
      <c r="I422" s="350">
        <v>125488.72</v>
      </c>
      <c r="K422" s="350">
        <v>937450.6599999999</v>
      </c>
      <c r="M422" s="350">
        <v>125488.72</v>
      </c>
    </row>
    <row r="423" spans="1:13" ht="24" customHeight="1">
      <c r="A423" s="397" t="s">
        <v>45</v>
      </c>
      <c r="B423" s="1109" t="s">
        <v>1727</v>
      </c>
      <c r="E423" s="393" t="s">
        <v>845</v>
      </c>
      <c r="G423" s="350">
        <v>2355646.14</v>
      </c>
      <c r="I423" s="350">
        <v>0</v>
      </c>
      <c r="K423" s="350">
        <v>2355646.14</v>
      </c>
      <c r="M423" s="350">
        <v>0</v>
      </c>
    </row>
    <row r="424" spans="1:13" ht="24" customHeight="1">
      <c r="A424" s="397" t="s">
        <v>46</v>
      </c>
      <c r="B424" s="1109" t="s">
        <v>709</v>
      </c>
      <c r="E424" s="393" t="s">
        <v>178</v>
      </c>
      <c r="G424" s="350">
        <v>1070136.97</v>
      </c>
      <c r="I424" s="350">
        <v>0</v>
      </c>
      <c r="K424" s="350">
        <v>1070136.97</v>
      </c>
      <c r="M424" s="350">
        <v>0</v>
      </c>
    </row>
    <row r="425" spans="1:13" ht="24" customHeight="1">
      <c r="A425" s="397" t="s">
        <v>47</v>
      </c>
      <c r="B425" s="1109" t="s">
        <v>1888</v>
      </c>
      <c r="E425" s="393" t="s">
        <v>845</v>
      </c>
      <c r="G425" s="350">
        <v>750859.75</v>
      </c>
      <c r="I425" s="350">
        <v>0</v>
      </c>
      <c r="K425" s="350">
        <v>750859.75</v>
      </c>
      <c r="M425" s="350">
        <v>0</v>
      </c>
    </row>
    <row r="426" spans="1:13" ht="24" customHeight="1">
      <c r="A426" s="397" t="s">
        <v>48</v>
      </c>
      <c r="B426" s="1109" t="s">
        <v>1889</v>
      </c>
      <c r="E426" s="393" t="s">
        <v>817</v>
      </c>
      <c r="G426" s="350">
        <v>505015.37</v>
      </c>
      <c r="I426" s="350">
        <v>0</v>
      </c>
      <c r="K426" s="350">
        <v>505015.37</v>
      </c>
      <c r="M426" s="350">
        <v>0</v>
      </c>
    </row>
    <row r="427" spans="1:13" ht="24" customHeight="1">
      <c r="A427" s="397" t="s">
        <v>49</v>
      </c>
      <c r="B427" s="1119" t="s">
        <v>826</v>
      </c>
      <c r="G427" s="350">
        <f>4970816.98-231300+76516.58+164000+204436.21</f>
        <v>5184469.7700000005</v>
      </c>
      <c r="I427" s="350">
        <f>1611582.15-125488.72</f>
        <v>1486093.43</v>
      </c>
      <c r="K427" s="350">
        <f>4970816.98-231300+76516.58+164000+204436.21</f>
        <v>5184469.7700000005</v>
      </c>
      <c r="M427" s="350">
        <f>1611582.15-125488.72</f>
        <v>1486093.43</v>
      </c>
    </row>
    <row r="428" spans="2:13" ht="24" customHeight="1" thickBot="1">
      <c r="B428" s="423" t="s">
        <v>212</v>
      </c>
      <c r="C428" s="424"/>
      <c r="G428" s="408">
        <f>SUM(G410:G427)</f>
        <v>101023776.37999998</v>
      </c>
      <c r="I428" s="408">
        <f>SUM(I410:I427)</f>
        <v>74474441.78000003</v>
      </c>
      <c r="K428" s="408">
        <f>SUM(K410:K427)</f>
        <v>101023776.37999998</v>
      </c>
      <c r="M428" s="408">
        <f>SUM(M410:M427)</f>
        <v>74474441.78000003</v>
      </c>
    </row>
    <row r="429" spans="2:13" ht="36.75" customHeight="1" thickTop="1">
      <c r="B429" s="423"/>
      <c r="C429" s="424"/>
      <c r="G429" s="398"/>
      <c r="I429" s="398"/>
      <c r="K429" s="398"/>
      <c r="M429" s="398"/>
    </row>
    <row r="430" spans="1:13" s="1052" customFormat="1" ht="24" customHeight="1">
      <c r="A430" s="1009" t="s">
        <v>1649</v>
      </c>
      <c r="B430" s="1009"/>
      <c r="C430" s="1009"/>
      <c r="D430" s="1009"/>
      <c r="E430" s="1009"/>
      <c r="F430" s="1009"/>
      <c r="G430" s="1009"/>
      <c r="H430" s="1009"/>
      <c r="I430" s="1009"/>
      <c r="J430" s="1009"/>
      <c r="K430" s="1111"/>
      <c r="L430" s="1111"/>
      <c r="M430" s="1111"/>
    </row>
    <row r="431" ht="17.25" customHeight="1"/>
    <row r="432" spans="1:13" s="596" customFormat="1" ht="24" customHeight="1">
      <c r="A432" s="1029" t="s">
        <v>1729</v>
      </c>
      <c r="B432" s="1029"/>
      <c r="C432" s="1029"/>
      <c r="D432" s="1029"/>
      <c r="E432" s="1029"/>
      <c r="F432" s="1029"/>
      <c r="G432" s="1029"/>
      <c r="H432" s="1029"/>
      <c r="I432" s="1029"/>
      <c r="J432" s="1029"/>
      <c r="K432" s="1110"/>
      <c r="L432" s="1110"/>
      <c r="M432" s="1110"/>
    </row>
    <row r="433" spans="2:18" ht="10.5" customHeight="1">
      <c r="B433" s="400"/>
      <c r="G433" s="401"/>
      <c r="I433" s="398"/>
      <c r="J433" s="392"/>
      <c r="K433" s="398"/>
      <c r="L433" s="402"/>
      <c r="M433" s="398"/>
      <c r="R433" s="416"/>
    </row>
    <row r="434" spans="1:13" s="350" customFormat="1" ht="24" customHeight="1">
      <c r="A434" s="1031" t="s">
        <v>1769</v>
      </c>
      <c r="B434" s="387"/>
      <c r="C434" s="387"/>
      <c r="D434" s="387"/>
      <c r="E434" s="387"/>
      <c r="F434" s="387"/>
      <c r="G434" s="387"/>
      <c r="H434" s="387"/>
      <c r="I434" s="387"/>
      <c r="J434" s="387"/>
      <c r="K434" s="387"/>
      <c r="L434" s="387"/>
      <c r="M434" s="387"/>
    </row>
    <row r="435" spans="1:13" s="417" customFormat="1" ht="24" customHeight="1">
      <c r="A435" s="1115" t="s">
        <v>1796</v>
      </c>
      <c r="B435" s="420"/>
      <c r="C435" s="415"/>
      <c r="D435" s="422"/>
      <c r="E435" s="420"/>
      <c r="F435" s="420"/>
      <c r="G435" s="420"/>
      <c r="H435" s="420"/>
      <c r="I435" s="420"/>
      <c r="J435" s="420"/>
      <c r="K435" s="420"/>
      <c r="L435" s="420"/>
      <c r="M435" s="420"/>
    </row>
    <row r="436" spans="1:18" ht="24" customHeight="1">
      <c r="A436" s="409"/>
      <c r="B436" s="400" t="s">
        <v>1638</v>
      </c>
      <c r="C436" s="350" t="s">
        <v>1797</v>
      </c>
      <c r="G436" s="401"/>
      <c r="I436" s="398"/>
      <c r="J436" s="392"/>
      <c r="K436" s="398"/>
      <c r="L436" s="402"/>
      <c r="M436" s="398"/>
      <c r="R436" s="416"/>
    </row>
    <row r="437" spans="1:18" ht="24" customHeight="1">
      <c r="A437" s="306" t="s">
        <v>1890</v>
      </c>
      <c r="B437" s="306"/>
      <c r="C437" s="306"/>
      <c r="D437" s="306"/>
      <c r="E437" s="389"/>
      <c r="F437" s="389"/>
      <c r="G437" s="389"/>
      <c r="H437" s="410"/>
      <c r="I437" s="411"/>
      <c r="J437" s="411"/>
      <c r="K437" s="411"/>
      <c r="L437" s="411"/>
      <c r="M437" s="411"/>
      <c r="R437" s="416"/>
    </row>
    <row r="438" spans="1:13" ht="24" customHeight="1">
      <c r="A438" s="350" t="s">
        <v>372</v>
      </c>
      <c r="K438" s="306"/>
      <c r="L438" s="306"/>
      <c r="M438" s="390" t="s">
        <v>214</v>
      </c>
    </row>
    <row r="439" spans="2:13" ht="24" customHeight="1">
      <c r="B439" s="352"/>
      <c r="C439" s="391"/>
      <c r="D439" s="391"/>
      <c r="E439" s="391"/>
      <c r="F439" s="351"/>
      <c r="G439" s="499"/>
      <c r="H439" s="500"/>
      <c r="I439" s="499" t="s">
        <v>1171</v>
      </c>
      <c r="J439" s="501"/>
      <c r="K439" s="502"/>
      <c r="L439" s="503"/>
      <c r="M439" s="504"/>
    </row>
    <row r="440" spans="2:13" ht="24" customHeight="1">
      <c r="B440" s="352"/>
      <c r="C440" s="391"/>
      <c r="D440" s="391"/>
      <c r="E440" s="391"/>
      <c r="F440" s="351"/>
      <c r="G440" s="499" t="s">
        <v>541</v>
      </c>
      <c r="H440" s="500"/>
      <c r="I440" s="499" t="s">
        <v>1172</v>
      </c>
      <c r="J440" s="501"/>
      <c r="K440" s="1033" t="s">
        <v>126</v>
      </c>
      <c r="L440" s="503"/>
      <c r="M440" s="506"/>
    </row>
    <row r="441" spans="7:13" ht="24" customHeight="1">
      <c r="G441" s="507"/>
      <c r="H441" s="1043"/>
      <c r="I441" s="507" t="s">
        <v>1173</v>
      </c>
      <c r="J441" s="501"/>
      <c r="K441" s="507"/>
      <c r="L441" s="507"/>
      <c r="M441" s="507"/>
    </row>
    <row r="442" spans="1:13" ht="24" customHeight="1">
      <c r="A442" s="397"/>
      <c r="B442" s="398"/>
      <c r="E442" s="412"/>
      <c r="F442" s="398"/>
      <c r="G442" s="394" t="s">
        <v>898</v>
      </c>
      <c r="H442" s="395"/>
      <c r="I442" s="394" t="s">
        <v>747</v>
      </c>
      <c r="J442" s="393"/>
      <c r="K442" s="394" t="s">
        <v>898</v>
      </c>
      <c r="L442" s="395"/>
      <c r="M442" s="394" t="s">
        <v>747</v>
      </c>
    </row>
    <row r="443" spans="1:13" ht="24" customHeight="1">
      <c r="A443" s="397"/>
      <c r="B443" s="398"/>
      <c r="E443" s="396" t="s">
        <v>351</v>
      </c>
      <c r="G443" s="394"/>
      <c r="H443" s="395"/>
      <c r="I443" s="394"/>
      <c r="J443" s="393"/>
      <c r="K443" s="394"/>
      <c r="L443" s="395"/>
      <c r="M443" s="394"/>
    </row>
    <row r="444" spans="1:13" ht="24" customHeight="1">
      <c r="A444" s="1117" t="s">
        <v>669</v>
      </c>
      <c r="B444" s="1118" t="s">
        <v>704</v>
      </c>
      <c r="E444" s="415" t="s">
        <v>178</v>
      </c>
      <c r="G444" s="350">
        <v>0</v>
      </c>
      <c r="I444" s="350">
        <v>1400000</v>
      </c>
      <c r="K444" s="350">
        <v>0</v>
      </c>
      <c r="M444" s="350">
        <v>1400000</v>
      </c>
    </row>
    <row r="445" spans="1:13" ht="24" customHeight="1">
      <c r="A445" s="397" t="s">
        <v>671</v>
      </c>
      <c r="B445" s="1119" t="s">
        <v>826</v>
      </c>
      <c r="G445" s="350">
        <v>434579.44</v>
      </c>
      <c r="I445" s="350">
        <v>0</v>
      </c>
      <c r="K445" s="350">
        <v>434579.44</v>
      </c>
      <c r="M445" s="350">
        <v>0</v>
      </c>
    </row>
    <row r="446" spans="2:13" ht="24" customHeight="1" thickBot="1">
      <c r="B446" s="423" t="s">
        <v>212</v>
      </c>
      <c r="C446" s="424"/>
      <c r="G446" s="408">
        <f>SUM(G444:G445)</f>
        <v>434579.44</v>
      </c>
      <c r="I446" s="408">
        <f>SUM(I444:I445)</f>
        <v>1400000</v>
      </c>
      <c r="K446" s="408">
        <f>SUM(K444:K445)</f>
        <v>434579.44</v>
      </c>
      <c r="M446" s="408">
        <f>SUM(M444:M445)</f>
        <v>1400000</v>
      </c>
    </row>
    <row r="447" ht="21.75" thickTop="1"/>
    <row r="448" spans="1:13" s="417" customFormat="1" ht="24" customHeight="1">
      <c r="A448" s="1115" t="s">
        <v>1799</v>
      </c>
      <c r="B448" s="420"/>
      <c r="C448" s="415"/>
      <c r="D448" s="422"/>
      <c r="E448" s="420"/>
      <c r="F448" s="420"/>
      <c r="G448" s="420"/>
      <c r="H448" s="420"/>
      <c r="I448" s="420"/>
      <c r="J448" s="420"/>
      <c r="K448" s="420"/>
      <c r="L448" s="420"/>
      <c r="M448" s="420"/>
    </row>
    <row r="449" spans="1:18" ht="24" customHeight="1">
      <c r="A449" s="409"/>
      <c r="B449" s="400" t="s">
        <v>1638</v>
      </c>
      <c r="C449" s="350" t="s">
        <v>1806</v>
      </c>
      <c r="G449" s="401"/>
      <c r="I449" s="398"/>
      <c r="J449" s="392"/>
      <c r="K449" s="398"/>
      <c r="L449" s="402"/>
      <c r="M449" s="398"/>
      <c r="R449" s="416"/>
    </row>
    <row r="450" spans="1:18" ht="24" customHeight="1">
      <c r="A450" s="306" t="s">
        <v>1807</v>
      </c>
      <c r="B450" s="306"/>
      <c r="C450" s="306"/>
      <c r="D450" s="306"/>
      <c r="E450" s="389"/>
      <c r="F450" s="389"/>
      <c r="G450" s="389"/>
      <c r="H450" s="410"/>
      <c r="I450" s="411"/>
      <c r="J450" s="411"/>
      <c r="K450" s="411"/>
      <c r="L450" s="411"/>
      <c r="M450" s="411"/>
      <c r="R450" s="416"/>
    </row>
    <row r="451" spans="1:13" ht="24" customHeight="1">
      <c r="A451" s="350" t="s">
        <v>372</v>
      </c>
      <c r="K451" s="306"/>
      <c r="L451" s="306"/>
      <c r="M451" s="390" t="s">
        <v>214</v>
      </c>
    </row>
    <row r="452" spans="2:13" ht="24" customHeight="1">
      <c r="B452" s="352"/>
      <c r="C452" s="391"/>
      <c r="D452" s="391"/>
      <c r="E452" s="391"/>
      <c r="F452" s="351"/>
      <c r="G452" s="499"/>
      <c r="H452" s="500"/>
      <c r="I452" s="499" t="s">
        <v>1171</v>
      </c>
      <c r="J452" s="501"/>
      <c r="K452" s="502"/>
      <c r="L452" s="503"/>
      <c r="M452" s="504"/>
    </row>
    <row r="453" spans="2:13" ht="24" customHeight="1">
      <c r="B453" s="352"/>
      <c r="C453" s="391"/>
      <c r="D453" s="391"/>
      <c r="E453" s="391"/>
      <c r="F453" s="351"/>
      <c r="G453" s="499" t="s">
        <v>541</v>
      </c>
      <c r="H453" s="500"/>
      <c r="I453" s="499" t="s">
        <v>1172</v>
      </c>
      <c r="J453" s="501"/>
      <c r="K453" s="1033" t="s">
        <v>126</v>
      </c>
      <c r="L453" s="503"/>
      <c r="M453" s="506"/>
    </row>
    <row r="454" spans="7:13" ht="24" customHeight="1">
      <c r="G454" s="507"/>
      <c r="H454" s="1043"/>
      <c r="I454" s="507" t="s">
        <v>1173</v>
      </c>
      <c r="J454" s="501"/>
      <c r="K454" s="507"/>
      <c r="L454" s="507"/>
      <c r="M454" s="507"/>
    </row>
    <row r="455" spans="1:13" ht="24" customHeight="1">
      <c r="A455" s="397"/>
      <c r="B455" s="398"/>
      <c r="E455" s="412"/>
      <c r="F455" s="398"/>
      <c r="G455" s="394" t="s">
        <v>898</v>
      </c>
      <c r="H455" s="395"/>
      <c r="I455" s="394" t="s">
        <v>747</v>
      </c>
      <c r="J455" s="393"/>
      <c r="K455" s="394" t="s">
        <v>898</v>
      </c>
      <c r="L455" s="395"/>
      <c r="M455" s="394" t="s">
        <v>747</v>
      </c>
    </row>
    <row r="456" spans="1:13" ht="24" customHeight="1">
      <c r="A456" s="397"/>
      <c r="B456" s="398"/>
      <c r="E456" s="396" t="s">
        <v>351</v>
      </c>
      <c r="G456" s="394"/>
      <c r="H456" s="395"/>
      <c r="I456" s="394"/>
      <c r="J456" s="393"/>
      <c r="K456" s="394"/>
      <c r="L456" s="395"/>
      <c r="M456" s="394"/>
    </row>
    <row r="457" spans="1:13" ht="24" customHeight="1">
      <c r="A457" s="1117" t="s">
        <v>669</v>
      </c>
      <c r="B457" s="1109" t="s">
        <v>1726</v>
      </c>
      <c r="E457" s="393" t="s">
        <v>817</v>
      </c>
      <c r="G457" s="350">
        <v>27319200</v>
      </c>
      <c r="I457" s="350">
        <v>0</v>
      </c>
      <c r="K457" s="350">
        <v>27319200</v>
      </c>
      <c r="M457" s="350">
        <v>0</v>
      </c>
    </row>
    <row r="458" spans="1:13" ht="24" customHeight="1" thickBot="1">
      <c r="A458" s="397"/>
      <c r="B458" s="423" t="s">
        <v>212</v>
      </c>
      <c r="C458" s="424"/>
      <c r="G458" s="408">
        <f>SUM(G457)</f>
        <v>27319200</v>
      </c>
      <c r="I458" s="408">
        <f>SUM(I457)</f>
        <v>0</v>
      </c>
      <c r="K458" s="408">
        <f>SUM(K457)</f>
        <v>27319200</v>
      </c>
      <c r="M458" s="408">
        <f>SUM(M457)</f>
        <v>0</v>
      </c>
    </row>
    <row r="459" ht="6.75" customHeight="1" thickTop="1"/>
    <row r="460" spans="1:13" s="417" customFormat="1" ht="24" customHeight="1">
      <c r="A460" s="1115" t="s">
        <v>1800</v>
      </c>
      <c r="B460" s="420"/>
      <c r="C460" s="415"/>
      <c r="D460" s="422"/>
      <c r="E460" s="420"/>
      <c r="F460" s="420"/>
      <c r="G460" s="420"/>
      <c r="H460" s="420"/>
      <c r="I460" s="420"/>
      <c r="J460" s="420"/>
      <c r="K460" s="420"/>
      <c r="L460" s="420"/>
      <c r="M460" s="420"/>
    </row>
    <row r="461" spans="1:18" ht="24" customHeight="1">
      <c r="A461" s="409"/>
      <c r="B461" s="400" t="s">
        <v>1638</v>
      </c>
      <c r="C461" s="350" t="s">
        <v>1809</v>
      </c>
      <c r="G461" s="401"/>
      <c r="I461" s="398"/>
      <c r="J461" s="392"/>
      <c r="K461" s="398"/>
      <c r="L461" s="402"/>
      <c r="M461" s="398"/>
      <c r="R461" s="416"/>
    </row>
    <row r="462" spans="1:18" ht="24" customHeight="1">
      <c r="A462" s="306" t="s">
        <v>1810</v>
      </c>
      <c r="B462" s="306"/>
      <c r="C462" s="306"/>
      <c r="D462" s="306"/>
      <c r="E462" s="389"/>
      <c r="F462" s="389"/>
      <c r="G462" s="389"/>
      <c r="H462" s="410"/>
      <c r="I462" s="411"/>
      <c r="J462" s="411"/>
      <c r="K462" s="411"/>
      <c r="L462" s="411"/>
      <c r="M462" s="411"/>
      <c r="R462" s="416"/>
    </row>
    <row r="463" spans="1:13" ht="24" customHeight="1">
      <c r="A463" s="350" t="s">
        <v>372</v>
      </c>
      <c r="K463" s="306"/>
      <c r="L463" s="306"/>
      <c r="M463" s="390" t="s">
        <v>214</v>
      </c>
    </row>
    <row r="464" spans="2:13" ht="24" customHeight="1">
      <c r="B464" s="352"/>
      <c r="C464" s="391"/>
      <c r="D464" s="391"/>
      <c r="E464" s="391"/>
      <c r="F464" s="351"/>
      <c r="G464" s="499"/>
      <c r="H464" s="500"/>
      <c r="I464" s="499" t="s">
        <v>1171</v>
      </c>
      <c r="J464" s="501"/>
      <c r="K464" s="502"/>
      <c r="L464" s="503"/>
      <c r="M464" s="504"/>
    </row>
    <row r="465" spans="2:13" ht="24" customHeight="1">
      <c r="B465" s="352"/>
      <c r="C465" s="391"/>
      <c r="D465" s="391"/>
      <c r="E465" s="391"/>
      <c r="F465" s="351"/>
      <c r="G465" s="499" t="s">
        <v>541</v>
      </c>
      <c r="H465" s="500"/>
      <c r="I465" s="499" t="s">
        <v>1172</v>
      </c>
      <c r="J465" s="501"/>
      <c r="K465" s="1033" t="s">
        <v>126</v>
      </c>
      <c r="L465" s="503"/>
      <c r="M465" s="506"/>
    </row>
    <row r="466" spans="7:13" ht="24" customHeight="1">
      <c r="G466" s="507"/>
      <c r="H466" s="1043"/>
      <c r="I466" s="507" t="s">
        <v>1173</v>
      </c>
      <c r="J466" s="501"/>
      <c r="K466" s="507"/>
      <c r="L466" s="507"/>
      <c r="M466" s="507"/>
    </row>
    <row r="467" spans="1:13" ht="24" customHeight="1">
      <c r="A467" s="397"/>
      <c r="B467" s="398"/>
      <c r="E467" s="412"/>
      <c r="F467" s="398"/>
      <c r="G467" s="394" t="s">
        <v>898</v>
      </c>
      <c r="H467" s="395"/>
      <c r="I467" s="394" t="s">
        <v>747</v>
      </c>
      <c r="J467" s="393"/>
      <c r="K467" s="394" t="s">
        <v>898</v>
      </c>
      <c r="L467" s="395"/>
      <c r="M467" s="394" t="s">
        <v>747</v>
      </c>
    </row>
    <row r="468" spans="1:13" ht="24" customHeight="1">
      <c r="A468" s="397"/>
      <c r="B468" s="398"/>
      <c r="E468" s="396" t="s">
        <v>351</v>
      </c>
      <c r="G468" s="394"/>
      <c r="H468" s="395"/>
      <c r="I468" s="394"/>
      <c r="J468" s="393"/>
      <c r="K468" s="394"/>
      <c r="L468" s="395"/>
      <c r="M468" s="394"/>
    </row>
    <row r="469" spans="1:13" ht="24" customHeight="1">
      <c r="A469" s="397" t="s">
        <v>669</v>
      </c>
      <c r="B469" s="1109" t="s">
        <v>1641</v>
      </c>
      <c r="E469" s="393"/>
      <c r="G469" s="394"/>
      <c r="H469" s="395"/>
      <c r="I469" s="394"/>
      <c r="J469" s="393"/>
      <c r="K469" s="394"/>
      <c r="L469" s="395"/>
      <c r="M469" s="394"/>
    </row>
    <row r="470" spans="1:13" ht="24" customHeight="1">
      <c r="A470" s="397"/>
      <c r="B470" s="1109" t="s">
        <v>1642</v>
      </c>
      <c r="E470" s="393" t="s">
        <v>178</v>
      </c>
      <c r="G470" s="350">
        <v>7350710</v>
      </c>
      <c r="I470" s="350">
        <v>0</v>
      </c>
      <c r="K470" s="350">
        <v>7350710</v>
      </c>
      <c r="M470" s="350">
        <v>0</v>
      </c>
    </row>
    <row r="471" spans="1:13" ht="24" customHeight="1">
      <c r="A471" s="397" t="s">
        <v>671</v>
      </c>
      <c r="B471" s="1109" t="s">
        <v>670</v>
      </c>
      <c r="E471" s="392" t="s">
        <v>179</v>
      </c>
      <c r="G471" s="350">
        <v>2753280</v>
      </c>
      <c r="I471" s="350">
        <v>0</v>
      </c>
      <c r="K471" s="350">
        <v>2753280</v>
      </c>
      <c r="M471" s="350">
        <v>0</v>
      </c>
    </row>
    <row r="472" spans="1:13" ht="24" customHeight="1">
      <c r="A472" s="397" t="s">
        <v>673</v>
      </c>
      <c r="B472" s="398" t="s">
        <v>1808</v>
      </c>
      <c r="E472" s="392" t="s">
        <v>233</v>
      </c>
      <c r="G472" s="350">
        <v>74700000</v>
      </c>
      <c r="I472" s="350">
        <v>0</v>
      </c>
      <c r="K472" s="350">
        <v>74700000</v>
      </c>
      <c r="M472" s="350">
        <v>0</v>
      </c>
    </row>
    <row r="473" spans="1:13" ht="24" customHeight="1">
      <c r="A473" s="397" t="s">
        <v>675</v>
      </c>
      <c r="B473" s="1109" t="s">
        <v>1726</v>
      </c>
      <c r="E473" s="393" t="s">
        <v>817</v>
      </c>
      <c r="G473" s="350">
        <v>10696860</v>
      </c>
      <c r="I473" s="350">
        <v>0</v>
      </c>
      <c r="K473" s="350">
        <v>10696860</v>
      </c>
      <c r="M473" s="350">
        <v>0</v>
      </c>
    </row>
    <row r="474" spans="1:13" ht="24" customHeight="1">
      <c r="A474" s="397" t="s">
        <v>677</v>
      </c>
      <c r="B474" s="1119" t="s">
        <v>745</v>
      </c>
      <c r="E474" s="393" t="s">
        <v>845</v>
      </c>
      <c r="G474" s="350">
        <v>9141460</v>
      </c>
      <c r="I474" s="350">
        <v>0</v>
      </c>
      <c r="K474" s="350">
        <v>9141460</v>
      </c>
      <c r="M474" s="350">
        <v>0</v>
      </c>
    </row>
    <row r="475" spans="1:13" ht="24" customHeight="1" thickBot="1">
      <c r="A475" s="397"/>
      <c r="B475" s="423" t="s">
        <v>212</v>
      </c>
      <c r="C475" s="424"/>
      <c r="E475" s="396"/>
      <c r="G475" s="408">
        <f>SUM(G470:G474)</f>
        <v>104642310</v>
      </c>
      <c r="I475" s="408">
        <f>SUM(I470:I474)</f>
        <v>0</v>
      </c>
      <c r="K475" s="408">
        <f>SUM(K470:K474)</f>
        <v>104642310</v>
      </c>
      <c r="M475" s="408">
        <f>SUM(M470:M474)</f>
        <v>0</v>
      </c>
    </row>
    <row r="476" spans="1:13" ht="9" customHeight="1" thickTop="1">
      <c r="A476" s="397"/>
      <c r="B476" s="423"/>
      <c r="C476" s="424"/>
      <c r="E476" s="396"/>
      <c r="G476" s="398"/>
      <c r="I476" s="398"/>
      <c r="K476" s="398"/>
      <c r="M476" s="398"/>
    </row>
    <row r="477" spans="1:5" ht="24" customHeight="1">
      <c r="A477" s="397"/>
      <c r="B477" s="398"/>
      <c r="E477" s="396"/>
    </row>
    <row r="478" spans="1:13" s="1052" customFormat="1" ht="24" customHeight="1">
      <c r="A478" s="1009" t="s">
        <v>1649</v>
      </c>
      <c r="B478" s="1009"/>
      <c r="C478" s="1009"/>
      <c r="D478" s="1009"/>
      <c r="E478" s="1009"/>
      <c r="F478" s="1009"/>
      <c r="G478" s="1009"/>
      <c r="H478" s="1009"/>
      <c r="I478" s="1009"/>
      <c r="J478" s="1009"/>
      <c r="K478" s="1111"/>
      <c r="L478" s="1111"/>
      <c r="M478" s="1111"/>
    </row>
  </sheetData>
  <sheetProtection/>
  <printOptions/>
  <pageMargins left="0" right="0" top="0.1968503937007874" bottom="0" header="0.2362204724409449" footer="0.3937007874015748"/>
  <pageSetup horizontalDpi="300" verticalDpi="300" orientation="portrait" paperSize="9" scale="77" r:id="rId1"/>
  <rowBreaks count="8" manualBreakCount="8">
    <brk id="44" max="255" man="1"/>
    <brk id="88" max="255" man="1"/>
    <brk id="129" max="255" man="1"/>
    <brk id="173" max="255" man="1"/>
    <brk id="217" max="255" man="1"/>
    <brk id="262" max="255" man="1"/>
    <brk id="396" max="255" man="1"/>
    <brk id="431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zoomScalePageLayoutView="0" workbookViewId="0" topLeftCell="A19">
      <selection activeCell="I7" sqref="I7"/>
    </sheetView>
  </sheetViews>
  <sheetFormatPr defaultColWidth="9.140625" defaultRowHeight="27" customHeight="1"/>
  <cols>
    <col min="1" max="6" width="9.140625" style="1" customWidth="1"/>
    <col min="7" max="7" width="17.140625" style="1" customWidth="1"/>
    <col min="8" max="8" width="1.7109375" style="1" customWidth="1"/>
    <col min="9" max="9" width="16.7109375" style="1" customWidth="1"/>
    <col min="10" max="10" width="1.7109375" style="1" customWidth="1"/>
    <col min="11" max="11" width="17.140625" style="1" customWidth="1"/>
    <col min="12" max="12" width="3.140625" style="1" customWidth="1"/>
    <col min="13" max="13" width="2.57421875" style="1" customWidth="1"/>
    <col min="14" max="16384" width="9.140625" style="1" customWidth="1"/>
  </cols>
  <sheetData>
    <row r="1" spans="1:12" ht="30" customHeight="1">
      <c r="A1" s="1156" t="s">
        <v>1801</v>
      </c>
      <c r="B1" s="1156"/>
      <c r="C1" s="1156"/>
      <c r="D1" s="1156"/>
      <c r="E1" s="1156"/>
      <c r="F1" s="1156"/>
      <c r="G1" s="1156"/>
      <c r="H1" s="1156"/>
      <c r="I1" s="1156"/>
      <c r="J1" s="1156"/>
      <c r="K1" s="1156"/>
      <c r="L1" s="75"/>
    </row>
    <row r="2" spans="1:12" ht="30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30" customHeight="1">
      <c r="A3" s="5" t="s">
        <v>1783</v>
      </c>
    </row>
    <row r="4" spans="1:11" ht="30" customHeight="1">
      <c r="A4" s="1" t="s">
        <v>1784</v>
      </c>
      <c r="K4" s="115"/>
    </row>
    <row r="5" ht="30" customHeight="1">
      <c r="A5" s="1" t="s">
        <v>1573</v>
      </c>
    </row>
    <row r="6" ht="30" customHeight="1">
      <c r="A6" s="1" t="s">
        <v>1574</v>
      </c>
    </row>
    <row r="7" ht="30" customHeight="1">
      <c r="A7" s="1" t="s">
        <v>1785</v>
      </c>
    </row>
    <row r="8" ht="30" customHeight="1">
      <c r="A8" s="1" t="s">
        <v>1575</v>
      </c>
    </row>
    <row r="9" ht="30" customHeight="1">
      <c r="A9" s="1" t="s">
        <v>1786</v>
      </c>
    </row>
    <row r="10" ht="30" customHeight="1">
      <c r="A10" s="1" t="s">
        <v>1576</v>
      </c>
    </row>
    <row r="11" ht="30" customHeight="1">
      <c r="A11" s="1" t="s">
        <v>1577</v>
      </c>
    </row>
    <row r="12" ht="30" customHeight="1">
      <c r="A12" s="1" t="s">
        <v>1787</v>
      </c>
    </row>
    <row r="13" ht="30" customHeight="1">
      <c r="A13" s="1" t="s">
        <v>1578</v>
      </c>
    </row>
    <row r="14" ht="30" customHeight="1">
      <c r="A14" s="1" t="s">
        <v>1579</v>
      </c>
    </row>
    <row r="15" ht="30" customHeight="1">
      <c r="A15" s="1" t="s">
        <v>1580</v>
      </c>
    </row>
    <row r="16" ht="30" customHeight="1">
      <c r="A16" s="1" t="s">
        <v>1581</v>
      </c>
    </row>
    <row r="17" ht="30" customHeight="1">
      <c r="A17" s="1" t="s">
        <v>1788</v>
      </c>
    </row>
    <row r="18" ht="30" customHeight="1">
      <c r="A18" s="1" t="s">
        <v>1582</v>
      </c>
    </row>
    <row r="19" ht="30" customHeight="1">
      <c r="A19" s="1" t="s">
        <v>1583</v>
      </c>
    </row>
    <row r="20" ht="30" customHeight="1">
      <c r="A20" s="1" t="s">
        <v>1584</v>
      </c>
    </row>
    <row r="21" ht="30" customHeight="1">
      <c r="A21" s="1" t="s">
        <v>1789</v>
      </c>
    </row>
    <row r="22" ht="30" customHeight="1">
      <c r="A22" s="1" t="s">
        <v>1585</v>
      </c>
    </row>
    <row r="23" ht="30" customHeight="1">
      <c r="A23" s="1" t="s">
        <v>1586</v>
      </c>
    </row>
    <row r="24" ht="30" customHeight="1">
      <c r="A24" s="1" t="s">
        <v>1587</v>
      </c>
    </row>
    <row r="25" ht="30" customHeight="1"/>
    <row r="26" ht="30" customHeight="1"/>
    <row r="27" ht="21" customHeight="1"/>
    <row r="28" ht="30" customHeight="1"/>
    <row r="29" ht="30" customHeight="1">
      <c r="A29" s="1" t="s">
        <v>356</v>
      </c>
    </row>
    <row r="30" ht="30" customHeight="1">
      <c r="B30" s="48"/>
    </row>
  </sheetData>
  <sheetProtection/>
  <mergeCells count="1">
    <mergeCell ref="A1:K1"/>
  </mergeCells>
  <printOptions horizontalCentered="1"/>
  <pageMargins left="0.3937007874015748" right="0" top="0.63" bottom="0.5" header="0.3937007874015748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zoomScaleSheetLayoutView="100" zoomScalePageLayoutView="0" workbookViewId="0" topLeftCell="A1">
      <selection activeCell="B4" sqref="B4"/>
    </sheetView>
  </sheetViews>
  <sheetFormatPr defaultColWidth="9.140625" defaultRowHeight="25.5" customHeight="1"/>
  <cols>
    <col min="1" max="1" width="5.57421875" style="476" customWidth="1"/>
    <col min="2" max="2" width="10.28125" style="476" customWidth="1"/>
    <col min="3" max="3" width="13.00390625" style="476" customWidth="1"/>
    <col min="4" max="5" width="13.28125" style="476" customWidth="1"/>
    <col min="6" max="6" width="16.57421875" style="476" customWidth="1"/>
    <col min="7" max="7" width="0.71875" style="476" customWidth="1"/>
    <col min="8" max="8" width="16.57421875" style="476" customWidth="1"/>
    <col min="9" max="9" width="0.85546875" style="476" customWidth="1"/>
    <col min="10" max="10" width="16.57421875" style="476" customWidth="1"/>
    <col min="11" max="11" width="0.85546875" style="476" customWidth="1"/>
    <col min="12" max="12" width="16.57421875" style="476" customWidth="1"/>
    <col min="13" max="13" width="1.1484375" style="476" customWidth="1"/>
    <col min="14" max="14" width="16.00390625" style="476" customWidth="1"/>
    <col min="15" max="15" width="15.57421875" style="477" customWidth="1"/>
    <col min="16" max="16" width="16.140625" style="477" customWidth="1"/>
    <col min="17" max="17" width="16.28125" style="477" customWidth="1"/>
    <col min="18" max="16384" width="9.140625" style="476" customWidth="1"/>
  </cols>
  <sheetData>
    <row r="1" spans="1:12" ht="25.5" customHeight="1">
      <c r="A1" s="494" t="s">
        <v>1623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</row>
    <row r="2" spans="1:14" s="436" customFormat="1" ht="25.5" customHeight="1">
      <c r="A2" s="495"/>
      <c r="B2" s="438"/>
      <c r="C2" s="438"/>
      <c r="D2" s="438"/>
      <c r="E2" s="439"/>
      <c r="F2" s="439"/>
      <c r="G2" s="439"/>
      <c r="H2" s="439"/>
      <c r="I2" s="439"/>
      <c r="J2" s="439"/>
      <c r="K2" s="439"/>
      <c r="L2" s="439"/>
      <c r="M2" s="439"/>
      <c r="N2" s="440"/>
    </row>
    <row r="3" spans="1:11" ht="25.5" customHeight="1">
      <c r="A3" s="496" t="s">
        <v>1169</v>
      </c>
      <c r="B3" s="496"/>
      <c r="C3" s="496"/>
      <c r="D3" s="496"/>
      <c r="E3" s="445"/>
      <c r="F3" s="445"/>
      <c r="G3" s="445"/>
      <c r="H3" s="445"/>
      <c r="I3" s="445"/>
      <c r="J3" s="445"/>
      <c r="K3" s="445"/>
    </row>
    <row r="4" spans="1:11" ht="25.5" customHeight="1">
      <c r="A4" s="466" t="s">
        <v>803</v>
      </c>
      <c r="B4" s="497" t="s">
        <v>1170</v>
      </c>
      <c r="C4" s="466"/>
      <c r="D4" s="466"/>
      <c r="E4" s="445"/>
      <c r="F4" s="445"/>
      <c r="G4" s="445"/>
      <c r="H4" s="445"/>
      <c r="I4" s="445"/>
      <c r="J4" s="445"/>
      <c r="K4" s="445"/>
    </row>
    <row r="5" spans="1:12" ht="25.5" customHeight="1">
      <c r="A5" s="445"/>
      <c r="B5" s="445"/>
      <c r="C5" s="445"/>
      <c r="D5" s="445"/>
      <c r="E5" s="445"/>
      <c r="G5" s="445"/>
      <c r="H5" s="445"/>
      <c r="I5" s="445"/>
      <c r="J5" s="445"/>
      <c r="K5" s="445"/>
      <c r="L5" s="498" t="s">
        <v>937</v>
      </c>
    </row>
    <row r="6" spans="1:12" ht="25.5" customHeight="1">
      <c r="A6" s="445"/>
      <c r="B6" s="445"/>
      <c r="C6" s="445"/>
      <c r="D6" s="445"/>
      <c r="E6" s="445"/>
      <c r="F6" s="499"/>
      <c r="G6" s="500"/>
      <c r="H6" s="499" t="s">
        <v>1171</v>
      </c>
      <c r="I6" s="501"/>
      <c r="J6" s="502"/>
      <c r="K6" s="503"/>
      <c r="L6" s="504"/>
    </row>
    <row r="7" spans="1:12" ht="25.5" customHeight="1">
      <c r="A7" s="445"/>
      <c r="B7" s="445"/>
      <c r="C7" s="445"/>
      <c r="D7" s="445"/>
      <c r="E7" s="445"/>
      <c r="F7" s="499" t="s">
        <v>541</v>
      </c>
      <c r="G7" s="500"/>
      <c r="H7" s="499" t="s">
        <v>1172</v>
      </c>
      <c r="I7" s="501"/>
      <c r="J7" s="505" t="s">
        <v>126</v>
      </c>
      <c r="K7" s="503"/>
      <c r="L7" s="506"/>
    </row>
    <row r="8" spans="1:12" ht="25.5" customHeight="1">
      <c r="A8" s="466"/>
      <c r="B8" s="466"/>
      <c r="C8" s="466"/>
      <c r="D8" s="466"/>
      <c r="E8" s="445"/>
      <c r="F8" s="507"/>
      <c r="G8" s="508"/>
      <c r="H8" s="507" t="s">
        <v>1173</v>
      </c>
      <c r="I8" s="501"/>
      <c r="J8" s="509"/>
      <c r="K8" s="509"/>
      <c r="L8" s="510"/>
    </row>
    <row r="9" spans="1:12" ht="25.5" customHeight="1">
      <c r="A9" s="466"/>
      <c r="B9" s="466"/>
      <c r="C9" s="466"/>
      <c r="D9" s="466"/>
      <c r="E9" s="445"/>
      <c r="F9" s="511" t="s">
        <v>898</v>
      </c>
      <c r="G9" s="512"/>
      <c r="H9" s="511" t="s">
        <v>747</v>
      </c>
      <c r="I9" s="512"/>
      <c r="J9" s="511" t="s">
        <v>898</v>
      </c>
      <c r="K9" s="512"/>
      <c r="L9" s="511" t="s">
        <v>747</v>
      </c>
    </row>
    <row r="10" spans="1:12" ht="25.5" customHeight="1">
      <c r="A10" s="466"/>
      <c r="B10" s="466" t="s">
        <v>622</v>
      </c>
      <c r="C10" s="466"/>
      <c r="D10" s="466"/>
      <c r="E10" s="445"/>
      <c r="F10" s="459">
        <v>1829711</v>
      </c>
      <c r="G10" s="513"/>
      <c r="H10" s="459">
        <v>1289654.88</v>
      </c>
      <c r="I10" s="513"/>
      <c r="J10" s="459">
        <v>1798736.02</v>
      </c>
      <c r="K10" s="624"/>
      <c r="L10" s="459">
        <v>1289654.88</v>
      </c>
    </row>
    <row r="11" spans="1:12" ht="25.5" customHeight="1">
      <c r="A11" s="466"/>
      <c r="B11" s="466" t="s">
        <v>623</v>
      </c>
      <c r="C11" s="466"/>
      <c r="D11" s="466"/>
      <c r="E11" s="445"/>
      <c r="F11" s="459">
        <f>4440508.73+81646.88</f>
        <v>4522155.61</v>
      </c>
      <c r="G11" s="513"/>
      <c r="H11" s="459">
        <v>1563567.18</v>
      </c>
      <c r="I11" s="513"/>
      <c r="J11" s="459">
        <f>3412782.05+81646.88</f>
        <v>3494428.9299999997</v>
      </c>
      <c r="K11" s="624"/>
      <c r="L11" s="459">
        <v>1563567.18</v>
      </c>
    </row>
    <row r="12" spans="1:12" ht="25.5" customHeight="1">
      <c r="A12" s="466"/>
      <c r="B12" s="466" t="s">
        <v>624</v>
      </c>
      <c r="C12" s="466"/>
      <c r="D12" s="466"/>
      <c r="E12" s="445"/>
      <c r="F12" s="625">
        <v>92404672.3</v>
      </c>
      <c r="G12" s="515"/>
      <c r="H12" s="625">
        <v>101282738.99</v>
      </c>
      <c r="I12" s="515"/>
      <c r="J12" s="625">
        <v>85987841.23</v>
      </c>
      <c r="K12" s="624"/>
      <c r="L12" s="625">
        <v>101282738.99</v>
      </c>
    </row>
    <row r="13" spans="1:12" ht="25.5" customHeight="1" thickBot="1">
      <c r="A13" s="466"/>
      <c r="B13" s="141"/>
      <c r="C13" s="466" t="s">
        <v>212</v>
      </c>
      <c r="D13" s="466"/>
      <c r="E13" s="445"/>
      <c r="F13" s="516">
        <f>SUM(F10:F12)</f>
        <v>98756538.91</v>
      </c>
      <c r="G13" s="517"/>
      <c r="H13" s="516">
        <f>SUM(H10:H12)</f>
        <v>104135961.05</v>
      </c>
      <c r="I13" s="517"/>
      <c r="J13" s="516">
        <f>SUM(J10:J12)</f>
        <v>91281006.18</v>
      </c>
      <c r="K13" s="517"/>
      <c r="L13" s="516">
        <f>SUM(L10:L12)</f>
        <v>104135961.05</v>
      </c>
    </row>
    <row r="14" spans="1:12" ht="25.5" customHeight="1" thickTop="1">
      <c r="A14" s="518"/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518"/>
    </row>
    <row r="15" spans="1:12" ht="25.5" customHeight="1">
      <c r="A15" s="496" t="s">
        <v>1176</v>
      </c>
      <c r="B15" s="518"/>
      <c r="C15" s="518"/>
      <c r="D15" s="518"/>
      <c r="E15" s="518"/>
      <c r="F15" s="518"/>
      <c r="G15" s="518"/>
      <c r="H15" s="518"/>
      <c r="I15" s="518"/>
      <c r="J15" s="518"/>
      <c r="K15" s="518"/>
      <c r="L15" s="518"/>
    </row>
    <row r="16" spans="1:12" ht="25.5" customHeight="1">
      <c r="A16" s="445"/>
      <c r="B16" s="445"/>
      <c r="C16" s="445"/>
      <c r="D16" s="445"/>
      <c r="E16" s="445"/>
      <c r="G16" s="445"/>
      <c r="H16" s="445"/>
      <c r="I16" s="445"/>
      <c r="J16" s="445"/>
      <c r="K16" s="445"/>
      <c r="L16" s="498" t="s">
        <v>937</v>
      </c>
    </row>
    <row r="17" spans="1:12" ht="25.5" customHeight="1">
      <c r="A17" s="466"/>
      <c r="B17" s="466"/>
      <c r="C17" s="466"/>
      <c r="D17" s="466"/>
      <c r="E17" s="445"/>
      <c r="F17" s="518"/>
      <c r="G17" s="518"/>
      <c r="H17" s="518"/>
      <c r="I17" s="519"/>
      <c r="J17" s="520" t="s">
        <v>541</v>
      </c>
      <c r="K17" s="520"/>
      <c r="L17" s="520"/>
    </row>
    <row r="18" spans="1:12" ht="25.5" customHeight="1">
      <c r="A18" s="466"/>
      <c r="B18" s="466"/>
      <c r="C18" s="466"/>
      <c r="D18" s="466"/>
      <c r="E18" s="445"/>
      <c r="F18" s="518"/>
      <c r="G18" s="518"/>
      <c r="H18" s="518"/>
      <c r="I18" s="512"/>
      <c r="J18" s="511" t="s">
        <v>898</v>
      </c>
      <c r="K18" s="512"/>
      <c r="L18" s="511" t="s">
        <v>747</v>
      </c>
    </row>
    <row r="19" spans="1:12" ht="25.5" customHeight="1">
      <c r="A19" s="466"/>
      <c r="B19" s="466" t="s">
        <v>1177</v>
      </c>
      <c r="C19" s="466"/>
      <c r="D19" s="466"/>
      <c r="E19" s="445"/>
      <c r="F19" s="518"/>
      <c r="G19" s="518"/>
      <c r="H19" s="518"/>
      <c r="I19" s="513"/>
      <c r="J19" s="459">
        <v>47000000</v>
      </c>
      <c r="K19" s="513"/>
      <c r="L19" s="459">
        <v>0</v>
      </c>
    </row>
    <row r="20" spans="1:12" ht="25.5" customHeight="1">
      <c r="A20" s="466"/>
      <c r="B20" s="466" t="s">
        <v>1278</v>
      </c>
      <c r="C20" s="466"/>
      <c r="D20" s="466"/>
      <c r="E20" s="445"/>
      <c r="F20" s="518"/>
      <c r="G20" s="518"/>
      <c r="H20" s="518"/>
      <c r="I20" s="513"/>
      <c r="J20" s="459"/>
      <c r="K20" s="513"/>
      <c r="L20" s="459"/>
    </row>
    <row r="21" spans="1:12" ht="25.5" customHeight="1">
      <c r="A21" s="466"/>
      <c r="B21" s="466" t="s">
        <v>1178</v>
      </c>
      <c r="C21" s="466"/>
      <c r="D21" s="466"/>
      <c r="E21" s="445"/>
      <c r="F21" s="518"/>
      <c r="G21" s="518"/>
      <c r="H21" s="518"/>
      <c r="I21" s="513"/>
      <c r="J21" s="459">
        <v>14042440.82</v>
      </c>
      <c r="K21" s="513"/>
      <c r="L21" s="459">
        <v>0</v>
      </c>
    </row>
    <row r="22" spans="1:12" ht="25.5" customHeight="1" thickBot="1">
      <c r="A22" s="466"/>
      <c r="B22" s="141"/>
      <c r="C22" s="466" t="s">
        <v>212</v>
      </c>
      <c r="D22" s="466"/>
      <c r="E22" s="445"/>
      <c r="F22" s="518"/>
      <c r="G22" s="518"/>
      <c r="H22" s="518"/>
      <c r="I22" s="521"/>
      <c r="J22" s="522">
        <f>SUM(J19:J21)</f>
        <v>61042440.82</v>
      </c>
      <c r="K22" s="513"/>
      <c r="L22" s="522">
        <f>SUM(L19:L21)</f>
        <v>0</v>
      </c>
    </row>
    <row r="23" spans="1:12" ht="25.5" customHeight="1" thickTop="1">
      <c r="A23" s="518"/>
      <c r="B23" s="518"/>
      <c r="C23" s="518"/>
      <c r="D23" s="518"/>
      <c r="E23" s="518"/>
      <c r="F23" s="518"/>
      <c r="G23" s="518"/>
      <c r="H23" s="518"/>
      <c r="I23" s="518"/>
      <c r="J23" s="518"/>
      <c r="K23" s="518"/>
      <c r="L23" s="518"/>
    </row>
    <row r="24" spans="1:8" s="524" customFormat="1" ht="25.5" customHeight="1">
      <c r="A24" s="523" t="s">
        <v>1366</v>
      </c>
      <c r="C24" s="144"/>
      <c r="D24" s="144"/>
      <c r="E24" s="136"/>
      <c r="F24" s="518"/>
      <c r="G24" s="518"/>
      <c r="H24" s="518"/>
    </row>
    <row r="25" spans="1:5" s="497" customFormat="1" ht="25.5" customHeight="1">
      <c r="A25" s="525"/>
      <c r="B25" s="309" t="s">
        <v>1367</v>
      </c>
      <c r="C25" s="141"/>
      <c r="D25" s="141"/>
      <c r="E25" s="142"/>
    </row>
    <row r="26" spans="1:12" ht="25.5" customHeight="1">
      <c r="A26" s="466"/>
      <c r="B26" s="466"/>
      <c r="C26" s="466"/>
      <c r="D26" s="466"/>
      <c r="E26" s="445"/>
      <c r="F26" s="445"/>
      <c r="G26" s="445"/>
      <c r="H26" s="445"/>
      <c r="I26" s="445"/>
      <c r="J26" s="445"/>
      <c r="K26" s="445"/>
      <c r="L26" s="498" t="s">
        <v>214</v>
      </c>
    </row>
    <row r="27" spans="1:12" ht="25.5" customHeight="1">
      <c r="A27" s="445"/>
      <c r="B27" s="445"/>
      <c r="C27" s="445"/>
      <c r="D27" s="445"/>
      <c r="E27" s="445"/>
      <c r="F27" s="499"/>
      <c r="G27" s="500"/>
      <c r="H27" s="499" t="s">
        <v>1171</v>
      </c>
      <c r="I27" s="501"/>
      <c r="J27" s="502"/>
      <c r="K27" s="503"/>
      <c r="L27" s="504"/>
    </row>
    <row r="28" spans="1:12" ht="25.5" customHeight="1">
      <c r="A28" s="445"/>
      <c r="B28" s="445"/>
      <c r="C28" s="445"/>
      <c r="D28" s="445"/>
      <c r="E28" s="445"/>
      <c r="F28" s="499" t="s">
        <v>541</v>
      </c>
      <c r="G28" s="500"/>
      <c r="H28" s="499" t="s">
        <v>1172</v>
      </c>
      <c r="I28" s="501"/>
      <c r="J28" s="505" t="s">
        <v>126</v>
      </c>
      <c r="K28" s="503"/>
      <c r="L28" s="506"/>
    </row>
    <row r="29" spans="1:12" ht="25.5" customHeight="1">
      <c r="A29" s="466"/>
      <c r="B29" s="466"/>
      <c r="C29" s="466"/>
      <c r="D29" s="466"/>
      <c r="E29" s="445"/>
      <c r="F29" s="507"/>
      <c r="G29" s="508"/>
      <c r="H29" s="507" t="s">
        <v>1173</v>
      </c>
      <c r="I29" s="501"/>
      <c r="J29" s="509"/>
      <c r="K29" s="509"/>
      <c r="L29" s="510"/>
    </row>
    <row r="30" spans="1:12" ht="25.5" customHeight="1">
      <c r="A30" s="466"/>
      <c r="B30" s="466"/>
      <c r="C30" s="466"/>
      <c r="D30" s="466"/>
      <c r="E30" s="445"/>
      <c r="F30" s="511" t="s">
        <v>898</v>
      </c>
      <c r="G30" s="512"/>
      <c r="H30" s="511" t="s">
        <v>747</v>
      </c>
      <c r="I30" s="512"/>
      <c r="J30" s="511" t="s">
        <v>898</v>
      </c>
      <c r="K30" s="512"/>
      <c r="L30" s="511" t="s">
        <v>747</v>
      </c>
    </row>
    <row r="31" spans="1:12" ht="25.5" customHeight="1">
      <c r="A31" s="527"/>
      <c r="B31" s="526" t="s">
        <v>647</v>
      </c>
      <c r="C31" s="528"/>
      <c r="D31" s="527"/>
      <c r="E31" s="435"/>
      <c r="F31" s="459">
        <v>219155460.57</v>
      </c>
      <c r="G31" s="513"/>
      <c r="H31" s="459">
        <v>172457582.5</v>
      </c>
      <c r="I31" s="513"/>
      <c r="J31" s="459">
        <v>212815614.91</v>
      </c>
      <c r="K31" s="626"/>
      <c r="L31" s="459">
        <v>172457582.5</v>
      </c>
    </row>
    <row r="32" spans="1:12" ht="25.5" customHeight="1">
      <c r="A32" s="527"/>
      <c r="B32" s="526" t="s">
        <v>656</v>
      </c>
      <c r="C32" s="528"/>
      <c r="D32" s="527"/>
      <c r="E32" s="435"/>
      <c r="F32" s="459">
        <v>-54250</v>
      </c>
      <c r="G32" s="513"/>
      <c r="H32" s="459">
        <v>0</v>
      </c>
      <c r="I32" s="513"/>
      <c r="J32" s="459">
        <v>-54250</v>
      </c>
      <c r="K32" s="626"/>
      <c r="L32" s="459">
        <v>0</v>
      </c>
    </row>
    <row r="33" spans="1:12" ht="25.5" customHeight="1" thickBot="1">
      <c r="A33" s="527"/>
      <c r="B33" s="526"/>
      <c r="C33" s="476" t="s">
        <v>212</v>
      </c>
      <c r="D33" s="527"/>
      <c r="E33" s="435"/>
      <c r="F33" s="522">
        <f>SUM(F31:F32)</f>
        <v>219101210.57</v>
      </c>
      <c r="G33" s="513"/>
      <c r="H33" s="522">
        <f>SUM(H31:H32)</f>
        <v>172457582.5</v>
      </c>
      <c r="I33" s="513"/>
      <c r="J33" s="522">
        <f>SUM(J31:J32)</f>
        <v>212761364.91</v>
      </c>
      <c r="K33" s="521"/>
      <c r="L33" s="522">
        <f>SUM(L31:L32)</f>
        <v>172457582.5</v>
      </c>
    </row>
    <row r="34" spans="1:12" ht="25.5" customHeight="1" thickTop="1">
      <c r="A34" s="527"/>
      <c r="B34" s="526"/>
      <c r="D34" s="527"/>
      <c r="E34" s="435"/>
      <c r="F34" s="146"/>
      <c r="G34" s="513"/>
      <c r="H34" s="146"/>
      <c r="I34" s="513"/>
      <c r="J34" s="146"/>
      <c r="K34" s="521"/>
      <c r="L34" s="146"/>
    </row>
    <row r="35" spans="1:12" ht="25.5" customHeight="1">
      <c r="A35" s="527"/>
      <c r="B35" s="526"/>
      <c r="D35" s="527"/>
      <c r="E35" s="435"/>
      <c r="F35" s="146"/>
      <c r="G35" s="513"/>
      <c r="H35" s="146"/>
      <c r="I35" s="513"/>
      <c r="J35" s="146"/>
      <c r="K35" s="521"/>
      <c r="L35" s="146"/>
    </row>
    <row r="36" spans="1:12" ht="25.5" customHeight="1">
      <c r="A36" s="527"/>
      <c r="B36" s="526"/>
      <c r="D36" s="527"/>
      <c r="E36" s="435"/>
      <c r="F36" s="146"/>
      <c r="G36" s="513"/>
      <c r="H36" s="146"/>
      <c r="I36" s="513"/>
      <c r="J36" s="146"/>
      <c r="K36" s="521"/>
      <c r="L36" s="146"/>
    </row>
    <row r="37" spans="1:12" s="531" customFormat="1" ht="25.5" customHeight="1">
      <c r="A37" s="138" t="s">
        <v>1179</v>
      </c>
      <c r="B37" s="529"/>
      <c r="C37" s="529"/>
      <c r="D37" s="529"/>
      <c r="E37" s="529"/>
      <c r="F37" s="495"/>
      <c r="G37" s="529"/>
      <c r="H37" s="530"/>
      <c r="I37" s="529"/>
      <c r="J37" s="529"/>
      <c r="K37" s="529"/>
      <c r="L37" s="529"/>
    </row>
    <row r="38" spans="1:12" ht="24.75" customHeight="1">
      <c r="A38" s="494" t="s">
        <v>1624</v>
      </c>
      <c r="B38" s="494"/>
      <c r="C38" s="494"/>
      <c r="D38" s="494"/>
      <c r="E38" s="494"/>
      <c r="F38" s="494"/>
      <c r="G38" s="494"/>
      <c r="H38" s="494"/>
      <c r="I38" s="494"/>
      <c r="J38" s="494"/>
      <c r="K38" s="494"/>
      <c r="L38" s="494"/>
    </row>
    <row r="39" spans="1:12" ht="7.5" customHeight="1">
      <c r="A39" s="518"/>
      <c r="B39" s="518"/>
      <c r="C39" s="518"/>
      <c r="D39" s="532"/>
      <c r="E39" s="518"/>
      <c r="F39" s="518"/>
      <c r="G39" s="518"/>
      <c r="H39" s="518"/>
      <c r="I39" s="518"/>
      <c r="J39" s="532"/>
      <c r="K39" s="518"/>
      <c r="L39" s="518"/>
    </row>
    <row r="40" spans="1:8" s="524" customFormat="1" ht="23.25" customHeight="1">
      <c r="A40" s="523" t="s">
        <v>1368</v>
      </c>
      <c r="C40" s="144"/>
      <c r="D40" s="144"/>
      <c r="E40" s="136"/>
      <c r="F40" s="136"/>
      <c r="G40" s="130"/>
      <c r="H40" s="136"/>
    </row>
    <row r="41" spans="1:12" ht="23.25" customHeight="1">
      <c r="A41" s="466"/>
      <c r="B41" s="466" t="s">
        <v>1180</v>
      </c>
      <c r="C41" s="466"/>
      <c r="D41" s="466"/>
      <c r="E41" s="445"/>
      <c r="F41" s="445"/>
      <c r="G41" s="445"/>
      <c r="H41" s="445"/>
      <c r="I41" s="445"/>
      <c r="J41" s="445"/>
      <c r="K41" s="445"/>
      <c r="L41" s="445"/>
    </row>
    <row r="42" spans="1:12" ht="23.25" customHeight="1">
      <c r="A42" s="466"/>
      <c r="B42" s="466"/>
      <c r="C42" s="466"/>
      <c r="D42" s="466"/>
      <c r="E42" s="445"/>
      <c r="F42" s="445"/>
      <c r="G42" s="445"/>
      <c r="H42" s="533"/>
      <c r="I42" s="533"/>
      <c r="J42" s="533"/>
      <c r="K42" s="445"/>
      <c r="L42" s="498" t="s">
        <v>214</v>
      </c>
    </row>
    <row r="43" spans="1:12" ht="23.25" customHeight="1">
      <c r="A43" s="445"/>
      <c r="B43" s="445"/>
      <c r="C43" s="445"/>
      <c r="D43" s="445"/>
      <c r="E43" s="445"/>
      <c r="F43" s="499"/>
      <c r="G43" s="500"/>
      <c r="H43" s="499" t="s">
        <v>1171</v>
      </c>
      <c r="I43" s="501"/>
      <c r="J43" s="502"/>
      <c r="K43" s="503"/>
      <c r="L43" s="504"/>
    </row>
    <row r="44" spans="1:12" ht="23.25" customHeight="1">
      <c r="A44" s="445"/>
      <c r="B44" s="445"/>
      <c r="C44" s="445"/>
      <c r="D44" s="445"/>
      <c r="E44" s="445"/>
      <c r="F44" s="499" t="s">
        <v>541</v>
      </c>
      <c r="G44" s="500"/>
      <c r="H44" s="499" t="s">
        <v>1172</v>
      </c>
      <c r="I44" s="501"/>
      <c r="J44" s="505" t="s">
        <v>126</v>
      </c>
      <c r="K44" s="503"/>
      <c r="L44" s="506"/>
    </row>
    <row r="45" spans="1:12" ht="23.25" customHeight="1">
      <c r="A45" s="466"/>
      <c r="B45" s="466"/>
      <c r="C45" s="466"/>
      <c r="D45" s="466"/>
      <c r="E45" s="445"/>
      <c r="F45" s="507"/>
      <c r="G45" s="508"/>
      <c r="H45" s="507" t="s">
        <v>1173</v>
      </c>
      <c r="I45" s="501"/>
      <c r="J45" s="509"/>
      <c r="K45" s="509"/>
      <c r="L45" s="510"/>
    </row>
    <row r="46" spans="1:12" ht="23.25" customHeight="1">
      <c r="A46" s="466"/>
      <c r="B46" s="466"/>
      <c r="C46" s="466"/>
      <c r="D46" s="466"/>
      <c r="E46" s="445"/>
      <c r="F46" s="511" t="s">
        <v>898</v>
      </c>
      <c r="G46" s="512"/>
      <c r="H46" s="511" t="s">
        <v>747</v>
      </c>
      <c r="I46" s="512"/>
      <c r="J46" s="511" t="s">
        <v>898</v>
      </c>
      <c r="K46" s="512"/>
      <c r="L46" s="511" t="s">
        <v>747</v>
      </c>
    </row>
    <row r="47" spans="1:12" ht="23.25" customHeight="1">
      <c r="A47" s="466"/>
      <c r="B47" s="526" t="s">
        <v>215</v>
      </c>
      <c r="C47" s="466"/>
      <c r="D47" s="466"/>
      <c r="E47" s="445"/>
      <c r="F47" s="146">
        <v>209483922.92</v>
      </c>
      <c r="G47" s="513"/>
      <c r="H47" s="146">
        <v>163711933.43</v>
      </c>
      <c r="I47" s="513"/>
      <c r="J47" s="146">
        <v>204044214.76</v>
      </c>
      <c r="K47" s="626"/>
      <c r="L47" s="146">
        <v>163711933.43</v>
      </c>
    </row>
    <row r="48" spans="1:12" ht="23.25" customHeight="1">
      <c r="A48" s="466"/>
      <c r="B48" s="526" t="s">
        <v>216</v>
      </c>
      <c r="C48" s="466"/>
      <c r="D48" s="466"/>
      <c r="E48" s="445"/>
      <c r="F48" s="146">
        <v>9609899.5</v>
      </c>
      <c r="G48" s="513"/>
      <c r="H48" s="146">
        <v>8599299.68</v>
      </c>
      <c r="I48" s="513"/>
      <c r="J48" s="146">
        <v>8709762</v>
      </c>
      <c r="K48" s="626"/>
      <c r="L48" s="146">
        <v>8599299.68</v>
      </c>
    </row>
    <row r="49" spans="1:12" ht="23.25" customHeight="1">
      <c r="A49" s="466"/>
      <c r="B49" s="526" t="s">
        <v>217</v>
      </c>
      <c r="C49" s="466"/>
      <c r="D49" s="466"/>
      <c r="E49" s="445"/>
      <c r="F49" s="146">
        <v>5450</v>
      </c>
      <c r="G49" s="513"/>
      <c r="H49" s="146">
        <v>25535.6</v>
      </c>
      <c r="I49" s="513"/>
      <c r="J49" s="146">
        <v>5450</v>
      </c>
      <c r="K49" s="626"/>
      <c r="L49" s="146">
        <v>25535.6</v>
      </c>
    </row>
    <row r="50" spans="1:12" ht="23.25" customHeight="1">
      <c r="A50" s="466"/>
      <c r="B50" s="526" t="s">
        <v>438</v>
      </c>
      <c r="C50" s="466"/>
      <c r="D50" s="466"/>
      <c r="E50" s="445"/>
      <c r="F50" s="146">
        <v>28498.15</v>
      </c>
      <c r="G50" s="513"/>
      <c r="H50" s="146">
        <v>21630</v>
      </c>
      <c r="I50" s="513"/>
      <c r="J50" s="146">
        <v>28498.15</v>
      </c>
      <c r="K50" s="626"/>
      <c r="L50" s="146">
        <v>21630</v>
      </c>
    </row>
    <row r="51" spans="1:12" ht="23.25" customHeight="1">
      <c r="A51" s="466"/>
      <c r="B51" s="526" t="s">
        <v>357</v>
      </c>
      <c r="C51" s="466"/>
      <c r="D51" s="466"/>
      <c r="E51" s="445"/>
      <c r="F51" s="146">
        <v>27690</v>
      </c>
      <c r="G51" s="513"/>
      <c r="H51" s="146">
        <v>99183.79</v>
      </c>
      <c r="I51" s="513"/>
      <c r="J51" s="146">
        <v>27690</v>
      </c>
      <c r="K51" s="626"/>
      <c r="L51" s="146">
        <v>99183.79</v>
      </c>
    </row>
    <row r="52" spans="1:12" ht="23.25" customHeight="1">
      <c r="A52" s="466"/>
      <c r="B52" s="466"/>
      <c r="C52" s="526" t="s">
        <v>212</v>
      </c>
      <c r="D52" s="466"/>
      <c r="E52" s="445"/>
      <c r="F52" s="534">
        <f>SUM(F47:F51)</f>
        <v>219155460.57</v>
      </c>
      <c r="G52" s="513"/>
      <c r="H52" s="534">
        <f>SUM(H47:H51)</f>
        <v>172457582.5</v>
      </c>
      <c r="I52" s="513"/>
      <c r="J52" s="534">
        <f>SUM(J47:J51)</f>
        <v>212815614.91</v>
      </c>
      <c r="K52" s="521"/>
      <c r="L52" s="534">
        <f>SUM(L47:L51)</f>
        <v>172457582.5</v>
      </c>
    </row>
    <row r="53" spans="1:12" ht="23.25" customHeight="1">
      <c r="A53" s="466"/>
      <c r="B53" s="526" t="s">
        <v>656</v>
      </c>
      <c r="C53" s="466"/>
      <c r="D53" s="466"/>
      <c r="E53" s="445"/>
      <c r="F53" s="514">
        <v>-54250</v>
      </c>
      <c r="G53" s="513"/>
      <c r="H53" s="514">
        <v>0</v>
      </c>
      <c r="I53" s="513"/>
      <c r="J53" s="514">
        <v>-54250</v>
      </c>
      <c r="K53" s="626"/>
      <c r="L53" s="514">
        <v>0</v>
      </c>
    </row>
    <row r="54" spans="1:12" ht="23.25" customHeight="1" thickBot="1">
      <c r="A54" s="466"/>
      <c r="B54" s="526" t="s">
        <v>1895</v>
      </c>
      <c r="D54" s="466"/>
      <c r="E54" s="445"/>
      <c r="F54" s="535">
        <f>SUM(F52:F53)</f>
        <v>219101210.57</v>
      </c>
      <c r="G54" s="513"/>
      <c r="H54" s="535">
        <f>SUM(H52:H53)</f>
        <v>172457582.5</v>
      </c>
      <c r="I54" s="513"/>
      <c r="J54" s="535">
        <f>SUM(J52:J53)</f>
        <v>212761364.91</v>
      </c>
      <c r="K54" s="521"/>
      <c r="L54" s="535">
        <f>SUM(L52:L53)</f>
        <v>172457582.5</v>
      </c>
    </row>
    <row r="55" spans="1:12" ht="7.5" customHeight="1" thickTop="1">
      <c r="A55" s="466"/>
      <c r="B55" s="466"/>
      <c r="C55" s="526"/>
      <c r="D55" s="466"/>
      <c r="E55" s="445"/>
      <c r="F55" s="146"/>
      <c r="G55" s="513"/>
      <c r="H55" s="146"/>
      <c r="I55" s="513"/>
      <c r="J55" s="146"/>
      <c r="K55" s="521"/>
      <c r="L55" s="146"/>
    </row>
    <row r="56" spans="1:8" s="524" customFormat="1" ht="23.25" customHeight="1">
      <c r="A56" s="523" t="s">
        <v>1369</v>
      </c>
      <c r="C56" s="144"/>
      <c r="D56" s="144"/>
      <c r="E56" s="136"/>
      <c r="F56" s="136"/>
      <c r="G56" s="130"/>
      <c r="H56" s="136"/>
    </row>
    <row r="57" spans="1:12" ht="23.25" customHeight="1">
      <c r="A57" s="466"/>
      <c r="B57" s="466" t="s">
        <v>1370</v>
      </c>
      <c r="C57" s="466"/>
      <c r="D57" s="466"/>
      <c r="E57" s="445"/>
      <c r="F57" s="445"/>
      <c r="G57" s="445"/>
      <c r="H57" s="445"/>
      <c r="I57" s="445"/>
      <c r="J57" s="445"/>
      <c r="K57" s="445"/>
      <c r="L57" s="445"/>
    </row>
    <row r="58" spans="1:12" ht="23.25" customHeight="1">
      <c r="A58" s="466"/>
      <c r="B58" s="466"/>
      <c r="C58" s="466"/>
      <c r="D58" s="466"/>
      <c r="E58" s="445"/>
      <c r="F58" s="445"/>
      <c r="G58" s="445"/>
      <c r="H58" s="445"/>
      <c r="I58" s="445"/>
      <c r="J58" s="445"/>
      <c r="K58" s="445"/>
      <c r="L58" s="498" t="s">
        <v>214</v>
      </c>
    </row>
    <row r="59" spans="1:12" ht="23.25" customHeight="1">
      <c r="A59" s="445"/>
      <c r="B59" s="445"/>
      <c r="C59" s="445"/>
      <c r="D59" s="445"/>
      <c r="E59" s="445"/>
      <c r="F59" s="499"/>
      <c r="G59" s="500"/>
      <c r="H59" s="499" t="s">
        <v>1171</v>
      </c>
      <c r="I59" s="501"/>
      <c r="J59" s="502"/>
      <c r="K59" s="503"/>
      <c r="L59" s="504"/>
    </row>
    <row r="60" spans="1:12" ht="23.25" customHeight="1">
      <c r="A60" s="445"/>
      <c r="B60" s="445"/>
      <c r="C60" s="445"/>
      <c r="D60" s="445"/>
      <c r="E60" s="445"/>
      <c r="F60" s="499" t="s">
        <v>541</v>
      </c>
      <c r="G60" s="500"/>
      <c r="H60" s="499" t="s">
        <v>1172</v>
      </c>
      <c r="I60" s="501"/>
      <c r="J60" s="505" t="s">
        <v>126</v>
      </c>
      <c r="K60" s="503"/>
      <c r="L60" s="506"/>
    </row>
    <row r="61" spans="1:12" ht="23.25" customHeight="1">
      <c r="A61" s="466"/>
      <c r="B61" s="466"/>
      <c r="C61" s="466"/>
      <c r="D61" s="466"/>
      <c r="E61" s="445"/>
      <c r="F61" s="507"/>
      <c r="G61" s="508"/>
      <c r="H61" s="507" t="s">
        <v>1173</v>
      </c>
      <c r="I61" s="501"/>
      <c r="J61" s="509"/>
      <c r="K61" s="509"/>
      <c r="L61" s="510"/>
    </row>
    <row r="62" spans="1:12" ht="23.25" customHeight="1">
      <c r="A62" s="466"/>
      <c r="B62" s="466"/>
      <c r="C62" s="466"/>
      <c r="D62" s="466"/>
      <c r="E62" s="445"/>
      <c r="F62" s="511" t="s">
        <v>898</v>
      </c>
      <c r="G62" s="512"/>
      <c r="H62" s="511" t="s">
        <v>747</v>
      </c>
      <c r="I62" s="512"/>
      <c r="J62" s="511" t="s">
        <v>898</v>
      </c>
      <c r="K62" s="512"/>
      <c r="L62" s="511" t="s">
        <v>747</v>
      </c>
    </row>
    <row r="63" spans="1:12" ht="23.25" customHeight="1">
      <c r="A63" s="466"/>
      <c r="B63" s="497" t="s">
        <v>657</v>
      </c>
      <c r="C63" s="466"/>
      <c r="D63" s="466"/>
      <c r="E63" s="445"/>
      <c r="F63" s="146">
        <v>26461743.36</v>
      </c>
      <c r="G63" s="513"/>
      <c r="H63" s="146">
        <v>23717627.27</v>
      </c>
      <c r="I63" s="513"/>
      <c r="J63" s="146">
        <v>26461743.36</v>
      </c>
      <c r="K63" s="626"/>
      <c r="L63" s="146">
        <v>23717627.27</v>
      </c>
    </row>
    <row r="64" spans="1:12" ht="23.25" customHeight="1">
      <c r="A64" s="466"/>
      <c r="B64" s="497" t="s">
        <v>1894</v>
      </c>
      <c r="C64" s="466"/>
      <c r="D64" s="466"/>
      <c r="E64" s="445"/>
      <c r="F64" s="146">
        <v>7910110.91</v>
      </c>
      <c r="G64" s="513"/>
      <c r="H64" s="146">
        <v>2932853.58</v>
      </c>
      <c r="I64" s="513"/>
      <c r="J64" s="146">
        <v>7783029.01</v>
      </c>
      <c r="K64" s="626"/>
      <c r="L64" s="146">
        <v>2932853.58</v>
      </c>
    </row>
    <row r="65" spans="1:12" ht="23.25" customHeight="1" thickBot="1">
      <c r="A65" s="466"/>
      <c r="B65" s="466"/>
      <c r="C65" s="476" t="s">
        <v>212</v>
      </c>
      <c r="D65" s="466"/>
      <c r="E65" s="445"/>
      <c r="F65" s="522">
        <f>SUM(F63:F64)</f>
        <v>34371854.269999996</v>
      </c>
      <c r="G65" s="513"/>
      <c r="H65" s="522">
        <f>SUM(H63:H64)</f>
        <v>26650480.85</v>
      </c>
      <c r="I65" s="513"/>
      <c r="J65" s="522">
        <f>SUM(J63:J64)</f>
        <v>34244772.37</v>
      </c>
      <c r="K65" s="521"/>
      <c r="L65" s="522">
        <f>SUM(L63:L64)</f>
        <v>26650480.85</v>
      </c>
    </row>
    <row r="66" spans="1:12" ht="3.75" customHeight="1" thickTop="1">
      <c r="A66" s="466"/>
      <c r="B66" s="466"/>
      <c r="C66" s="466"/>
      <c r="D66" s="466"/>
      <c r="E66" s="445"/>
      <c r="F66" s="536"/>
      <c r="G66" s="536"/>
      <c r="H66" s="536"/>
      <c r="I66" s="536"/>
      <c r="J66" s="536"/>
      <c r="K66" s="536"/>
      <c r="L66" s="536"/>
    </row>
    <row r="67" spans="1:12" ht="23.25" customHeight="1">
      <c r="A67" s="466"/>
      <c r="B67" s="466" t="s">
        <v>1181</v>
      </c>
      <c r="C67" s="466"/>
      <c r="D67" s="466"/>
      <c r="E67" s="445"/>
      <c r="F67" s="445"/>
      <c r="G67" s="445"/>
      <c r="H67" s="445"/>
      <c r="I67" s="445"/>
      <c r="J67" s="445"/>
      <c r="K67" s="445"/>
      <c r="L67" s="445"/>
    </row>
    <row r="68" spans="1:12" ht="23.25" customHeight="1">
      <c r="A68" s="466"/>
      <c r="B68" s="466"/>
      <c r="C68" s="466"/>
      <c r="D68" s="466"/>
      <c r="E68" s="445"/>
      <c r="F68" s="445"/>
      <c r="G68" s="445"/>
      <c r="H68" s="533"/>
      <c r="I68" s="533"/>
      <c r="J68" s="533"/>
      <c r="K68" s="445"/>
      <c r="L68" s="498" t="s">
        <v>214</v>
      </c>
    </row>
    <row r="69" spans="1:12" ht="23.25" customHeight="1">
      <c r="A69" s="445"/>
      <c r="B69" s="445"/>
      <c r="C69" s="445"/>
      <c r="D69" s="445"/>
      <c r="E69" s="445"/>
      <c r="F69" s="499"/>
      <c r="G69" s="500"/>
      <c r="H69" s="499" t="s">
        <v>1171</v>
      </c>
      <c r="I69" s="501"/>
      <c r="J69" s="502"/>
      <c r="K69" s="503"/>
      <c r="L69" s="504"/>
    </row>
    <row r="70" spans="1:12" ht="23.25" customHeight="1">
      <c r="A70" s="445"/>
      <c r="B70" s="445"/>
      <c r="C70" s="445"/>
      <c r="D70" s="445"/>
      <c r="E70" s="445"/>
      <c r="F70" s="499" t="s">
        <v>541</v>
      </c>
      <c r="G70" s="500"/>
      <c r="H70" s="499" t="s">
        <v>1172</v>
      </c>
      <c r="I70" s="501"/>
      <c r="J70" s="505" t="s">
        <v>126</v>
      </c>
      <c r="K70" s="503"/>
      <c r="L70" s="506"/>
    </row>
    <row r="71" spans="1:12" ht="23.25" customHeight="1">
      <c r="A71" s="466"/>
      <c r="B71" s="466"/>
      <c r="C71" s="466"/>
      <c r="D71" s="466"/>
      <c r="E71" s="445"/>
      <c r="F71" s="507"/>
      <c r="G71" s="508"/>
      <c r="H71" s="507" t="s">
        <v>1173</v>
      </c>
      <c r="I71" s="501"/>
      <c r="J71" s="509"/>
      <c r="K71" s="509"/>
      <c r="L71" s="510"/>
    </row>
    <row r="72" spans="1:12" ht="23.25" customHeight="1">
      <c r="A72" s="466"/>
      <c r="B72" s="466"/>
      <c r="C72" s="466"/>
      <c r="D72" s="466"/>
      <c r="E72" s="445"/>
      <c r="F72" s="511" t="s">
        <v>898</v>
      </c>
      <c r="G72" s="512"/>
      <c r="H72" s="511" t="s">
        <v>747</v>
      </c>
      <c r="I72" s="512"/>
      <c r="J72" s="511" t="s">
        <v>898</v>
      </c>
      <c r="K72" s="512"/>
      <c r="L72" s="511" t="s">
        <v>747</v>
      </c>
    </row>
    <row r="73" spans="1:12" ht="23.25" customHeight="1">
      <c r="A73" s="466"/>
      <c r="B73" s="526" t="s">
        <v>215</v>
      </c>
      <c r="C73" s="466"/>
      <c r="D73" s="466"/>
      <c r="E73" s="445"/>
      <c r="F73" s="146">
        <v>24426076.01</v>
      </c>
      <c r="G73" s="626"/>
      <c r="H73" s="146">
        <v>21422321.24</v>
      </c>
      <c r="I73" s="513"/>
      <c r="J73" s="146">
        <v>24426076.01</v>
      </c>
      <c r="K73" s="626"/>
      <c r="L73" s="146">
        <v>21422321.24</v>
      </c>
    </row>
    <row r="74" spans="1:12" ht="23.25" customHeight="1">
      <c r="A74" s="466"/>
      <c r="B74" s="526" t="s">
        <v>216</v>
      </c>
      <c r="C74" s="466"/>
      <c r="D74" s="466"/>
      <c r="E74" s="445"/>
      <c r="F74" s="146">
        <v>2164902.68</v>
      </c>
      <c r="G74" s="626"/>
      <c r="H74" s="146">
        <v>752231.93</v>
      </c>
      <c r="I74" s="513"/>
      <c r="J74" s="146">
        <v>2164902.68</v>
      </c>
      <c r="K74" s="626"/>
      <c r="L74" s="146">
        <v>752231.93</v>
      </c>
    </row>
    <row r="75" spans="1:12" ht="23.25" customHeight="1">
      <c r="A75" s="466"/>
      <c r="B75" s="526" t="s">
        <v>217</v>
      </c>
      <c r="C75" s="466"/>
      <c r="D75" s="466"/>
      <c r="E75" s="445"/>
      <c r="F75" s="146">
        <v>37761.46</v>
      </c>
      <c r="G75" s="626"/>
      <c r="H75" s="146">
        <v>1978371.19</v>
      </c>
      <c r="I75" s="513"/>
      <c r="J75" s="146">
        <v>37761.46</v>
      </c>
      <c r="K75" s="626"/>
      <c r="L75" s="146">
        <v>1978371.19</v>
      </c>
    </row>
    <row r="76" spans="1:12" ht="23.25" customHeight="1">
      <c r="A76" s="466"/>
      <c r="B76" s="526" t="s">
        <v>438</v>
      </c>
      <c r="C76" s="466"/>
      <c r="D76" s="466"/>
      <c r="E76" s="445"/>
      <c r="F76" s="146">
        <v>140609.09</v>
      </c>
      <c r="G76" s="626"/>
      <c r="H76" s="146">
        <v>318248.5</v>
      </c>
      <c r="I76" s="513"/>
      <c r="J76" s="146">
        <v>140609.09</v>
      </c>
      <c r="K76" s="626"/>
      <c r="L76" s="146">
        <v>318248.5</v>
      </c>
    </row>
    <row r="77" spans="1:12" ht="23.25" customHeight="1">
      <c r="A77" s="466"/>
      <c r="B77" s="526" t="s">
        <v>357</v>
      </c>
      <c r="C77" s="466"/>
      <c r="D77" s="466"/>
      <c r="E77" s="445"/>
      <c r="F77" s="146">
        <v>4024729.55</v>
      </c>
      <c r="G77" s="626"/>
      <c r="H77" s="146">
        <v>3242102.43</v>
      </c>
      <c r="I77" s="513"/>
      <c r="J77" s="146">
        <v>4024729.55</v>
      </c>
      <c r="K77" s="626"/>
      <c r="L77" s="146">
        <v>3242102.43</v>
      </c>
    </row>
    <row r="78" spans="1:12" ht="23.25" customHeight="1">
      <c r="A78" s="466"/>
      <c r="B78" s="466"/>
      <c r="C78" s="526" t="s">
        <v>212</v>
      </c>
      <c r="D78" s="466"/>
      <c r="E78" s="445"/>
      <c r="F78" s="534">
        <f>SUM(F73:F77)</f>
        <v>30794078.790000003</v>
      </c>
      <c r="G78" s="521"/>
      <c r="H78" s="534">
        <f>SUM(H73:H77)</f>
        <v>27713275.29</v>
      </c>
      <c r="I78" s="513"/>
      <c r="J78" s="534">
        <f>SUM(J73:J77)</f>
        <v>30794078.790000003</v>
      </c>
      <c r="K78" s="521"/>
      <c r="L78" s="534">
        <f>SUM(L73:L77)</f>
        <v>27713275.29</v>
      </c>
    </row>
    <row r="79" spans="1:12" ht="23.25" customHeight="1">
      <c r="A79" s="466"/>
      <c r="B79" s="466" t="s">
        <v>656</v>
      </c>
      <c r="C79" s="466"/>
      <c r="D79" s="466"/>
      <c r="E79" s="445"/>
      <c r="F79" s="627">
        <v>-4332335.43</v>
      </c>
      <c r="G79" s="628"/>
      <c r="H79" s="627">
        <v>-3995648.02</v>
      </c>
      <c r="I79" s="536"/>
      <c r="J79" s="627">
        <v>-4332335.43</v>
      </c>
      <c r="K79" s="628"/>
      <c r="L79" s="627">
        <v>-3995648.02</v>
      </c>
    </row>
    <row r="80" spans="1:12" ht="23.25" customHeight="1" thickBot="1">
      <c r="A80" s="466"/>
      <c r="B80" s="466"/>
      <c r="C80" s="466" t="s">
        <v>657</v>
      </c>
      <c r="D80" s="466"/>
      <c r="E80" s="445"/>
      <c r="F80" s="516">
        <f>SUM(F78:F79)</f>
        <v>26461743.360000003</v>
      </c>
      <c r="G80" s="536"/>
      <c r="H80" s="516">
        <f>SUM(H78:H79)</f>
        <v>23717627.27</v>
      </c>
      <c r="I80" s="536"/>
      <c r="J80" s="516">
        <f>SUM(J78:J79)</f>
        <v>26461743.360000003</v>
      </c>
      <c r="K80" s="536"/>
      <c r="L80" s="516">
        <f>SUM(L78:L79)</f>
        <v>23717627.27</v>
      </c>
    </row>
    <row r="81" spans="1:12" ht="23.25" customHeight="1" thickTop="1">
      <c r="A81" s="466"/>
      <c r="B81" s="466"/>
      <c r="C81" s="466"/>
      <c r="D81" s="466"/>
      <c r="E81" s="445"/>
      <c r="F81" s="536"/>
      <c r="G81" s="536"/>
      <c r="H81" s="536"/>
      <c r="I81" s="536"/>
      <c r="J81" s="536"/>
      <c r="K81" s="536"/>
      <c r="L81" s="536"/>
    </row>
    <row r="82" spans="1:12" s="531" customFormat="1" ht="23.25" customHeight="1">
      <c r="A82" s="138" t="s">
        <v>1179</v>
      </c>
      <c r="B82" s="529"/>
      <c r="C82" s="529"/>
      <c r="D82" s="529"/>
      <c r="E82" s="529"/>
      <c r="F82" s="495"/>
      <c r="G82" s="529"/>
      <c r="H82" s="530"/>
      <c r="I82" s="529"/>
      <c r="J82" s="529"/>
      <c r="K82" s="529"/>
      <c r="L82" s="529"/>
    </row>
    <row r="97" spans="1:12" ht="25.5" customHeight="1">
      <c r="A97" s="466"/>
      <c r="B97" s="466"/>
      <c r="C97" s="466"/>
      <c r="D97" s="466"/>
      <c r="E97" s="445"/>
      <c r="F97" s="536"/>
      <c r="G97" s="536"/>
      <c r="H97" s="536"/>
      <c r="I97" s="536"/>
      <c r="J97" s="536"/>
      <c r="K97" s="536"/>
      <c r="L97" s="536"/>
    </row>
  </sheetData>
  <sheetProtection/>
  <printOptions/>
  <pageMargins left="0.6692913385826772" right="0.1968503937007874" top="0.5905511811023623" bottom="0.1968503937007874" header="0.31496062992125984" footer="0.35433070866141736"/>
  <pageSetup fitToHeight="0" horizontalDpi="600" verticalDpi="600" orientation="portrait" paperSize="9" scale="80" r:id="rId2"/>
  <rowBreaks count="1" manualBreakCount="1">
    <brk id="37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85" zoomScaleNormal="85" zoomScaleSheetLayoutView="90" workbookViewId="0" topLeftCell="A1">
      <selection activeCell="G2" sqref="G2"/>
    </sheetView>
  </sheetViews>
  <sheetFormatPr defaultColWidth="9.140625" defaultRowHeight="19.5" customHeight="1"/>
  <cols>
    <col min="1" max="1" width="3.7109375" style="129" customWidth="1"/>
    <col min="2" max="2" width="41.00390625" style="129" customWidth="1"/>
    <col min="3" max="6" width="11.57421875" style="129" customWidth="1"/>
    <col min="7" max="7" width="11.421875" style="129" customWidth="1"/>
    <col min="8" max="8" width="13.140625" style="129" customWidth="1"/>
    <col min="9" max="9" width="5.421875" style="129" customWidth="1"/>
    <col min="10" max="13" width="11.57421875" style="129" customWidth="1"/>
    <col min="14" max="14" width="22.00390625" style="129" customWidth="1"/>
    <col min="15" max="15" width="3.421875" style="129" customWidth="1"/>
    <col min="16" max="16384" width="9.140625" style="129" customWidth="1"/>
  </cols>
  <sheetData>
    <row r="1" spans="1:14" ht="19.5" customHeight="1">
      <c r="A1" s="1158" t="s">
        <v>1811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8"/>
      <c r="M1" s="1158"/>
      <c r="N1" s="1158"/>
    </row>
    <row r="2" spans="1:14" ht="6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</row>
    <row r="3" ht="19.5" customHeight="1">
      <c r="A3" s="5" t="s">
        <v>1790</v>
      </c>
    </row>
    <row r="4" spans="1:2" ht="19.5" customHeight="1">
      <c r="A4" s="5"/>
      <c r="B4" s="129" t="s">
        <v>1791</v>
      </c>
    </row>
    <row r="5" ht="19.5" customHeight="1">
      <c r="B5" s="129" t="s">
        <v>1588</v>
      </c>
    </row>
    <row r="6" ht="19.5" customHeight="1">
      <c r="M6" s="320" t="s">
        <v>720</v>
      </c>
    </row>
    <row r="7" spans="4:13" ht="19.5" customHeight="1">
      <c r="D7" s="1159" t="s">
        <v>541</v>
      </c>
      <c r="E7" s="1159"/>
      <c r="F7" s="1159"/>
      <c r="G7" s="1159"/>
      <c r="J7" s="1159" t="s">
        <v>370</v>
      </c>
      <c r="K7" s="1159"/>
      <c r="L7" s="1159"/>
      <c r="M7" s="1159"/>
    </row>
    <row r="8" spans="2:13" ht="19.5" customHeight="1">
      <c r="B8" s="129" t="s">
        <v>621</v>
      </c>
      <c r="D8" s="1157">
        <v>2560</v>
      </c>
      <c r="E8" s="1157"/>
      <c r="F8" s="1157"/>
      <c r="G8" s="1157"/>
      <c r="H8" s="357"/>
      <c r="J8" s="1157">
        <v>2559</v>
      </c>
      <c r="K8" s="1157"/>
      <c r="L8" s="1157"/>
      <c r="M8" s="1157"/>
    </row>
    <row r="9" spans="4:13" ht="19.5" customHeight="1">
      <c r="D9" s="322" t="s">
        <v>721</v>
      </c>
      <c r="E9" s="322" t="s">
        <v>721</v>
      </c>
      <c r="F9" s="322" t="s">
        <v>722</v>
      </c>
      <c r="G9" s="322" t="s">
        <v>212</v>
      </c>
      <c r="H9" s="357"/>
      <c r="J9" s="322" t="s">
        <v>721</v>
      </c>
      <c r="K9" s="322" t="s">
        <v>721</v>
      </c>
      <c r="L9" s="322" t="s">
        <v>722</v>
      </c>
      <c r="M9" s="322" t="s">
        <v>212</v>
      </c>
    </row>
    <row r="10" spans="4:13" ht="19.5" customHeight="1">
      <c r="D10" s="321" t="s">
        <v>723</v>
      </c>
      <c r="E10" s="321" t="s">
        <v>724</v>
      </c>
      <c r="F10" s="321" t="s">
        <v>725</v>
      </c>
      <c r="G10" s="323"/>
      <c r="H10" s="358"/>
      <c r="J10" s="321" t="s">
        <v>723</v>
      </c>
      <c r="K10" s="321" t="s">
        <v>724</v>
      </c>
      <c r="L10" s="321" t="s">
        <v>725</v>
      </c>
      <c r="M10" s="323"/>
    </row>
    <row r="11" spans="2:3" ht="19.5" customHeight="1">
      <c r="B11" s="324" t="s">
        <v>726</v>
      </c>
      <c r="C11" s="324"/>
    </row>
    <row r="12" spans="2:13" ht="19.5" customHeight="1">
      <c r="B12" s="129" t="s">
        <v>727</v>
      </c>
      <c r="D12" s="325">
        <v>92.4</v>
      </c>
      <c r="E12" s="325">
        <v>0</v>
      </c>
      <c r="F12" s="325">
        <v>6.35</v>
      </c>
      <c r="G12" s="325">
        <f>SUM(D12:F12)</f>
        <v>98.75</v>
      </c>
      <c r="H12" s="325"/>
      <c r="J12" s="325">
        <v>101.28</v>
      </c>
      <c r="K12" s="325">
        <v>0</v>
      </c>
      <c r="L12" s="325">
        <v>2.85</v>
      </c>
      <c r="M12" s="325">
        <f>SUM(J12:L12)</f>
        <v>104.13</v>
      </c>
    </row>
    <row r="13" spans="2:13" ht="19.5" customHeight="1">
      <c r="B13" s="129" t="s">
        <v>985</v>
      </c>
      <c r="D13" s="325">
        <v>61.04</v>
      </c>
      <c r="E13" s="325">
        <v>0</v>
      </c>
      <c r="F13" s="325">
        <v>0</v>
      </c>
      <c r="G13" s="325">
        <f>SUM(D13:F13)</f>
        <v>61.04</v>
      </c>
      <c r="H13" s="325"/>
      <c r="J13" s="325">
        <v>0</v>
      </c>
      <c r="K13" s="325">
        <v>0</v>
      </c>
      <c r="L13" s="325">
        <v>0</v>
      </c>
      <c r="M13" s="325">
        <f>SUM(J13:L13)</f>
        <v>0</v>
      </c>
    </row>
    <row r="14" spans="2:13" ht="19.5" customHeight="1">
      <c r="B14" s="324" t="s">
        <v>728</v>
      </c>
      <c r="C14" s="324"/>
      <c r="D14" s="325"/>
      <c r="E14" s="325"/>
      <c r="F14" s="325"/>
      <c r="G14" s="325"/>
      <c r="H14" s="325"/>
      <c r="J14" s="325"/>
      <c r="K14" s="325"/>
      <c r="L14" s="325"/>
      <c r="M14" s="325"/>
    </row>
    <row r="15" spans="2:13" ht="19.5" customHeight="1">
      <c r="B15" s="129" t="s">
        <v>729</v>
      </c>
      <c r="D15" s="325">
        <v>4080</v>
      </c>
      <c r="E15" s="325"/>
      <c r="F15" s="325"/>
      <c r="G15" s="325">
        <f>SUM(D15:F15)</f>
        <v>4080</v>
      </c>
      <c r="H15" s="325"/>
      <c r="J15" s="325">
        <v>560</v>
      </c>
      <c r="K15" s="325">
        <v>0</v>
      </c>
      <c r="L15" s="325">
        <v>0</v>
      </c>
      <c r="M15" s="325">
        <f>SUM(J15:L15)</f>
        <v>560</v>
      </c>
    </row>
    <row r="16" spans="2:13" ht="19.5" customHeight="1">
      <c r="B16" s="129" t="s">
        <v>730</v>
      </c>
      <c r="D16" s="325">
        <v>0</v>
      </c>
      <c r="E16" s="325">
        <v>0</v>
      </c>
      <c r="F16" s="325">
        <v>0</v>
      </c>
      <c r="G16" s="325">
        <f>SUM(D16:F16)</f>
        <v>0</v>
      </c>
      <c r="H16" s="325"/>
      <c r="J16" s="325">
        <v>300</v>
      </c>
      <c r="K16" s="325">
        <v>0</v>
      </c>
      <c r="L16" s="325">
        <v>0</v>
      </c>
      <c r="M16" s="325">
        <f>SUM(J16:L16)</f>
        <v>300</v>
      </c>
    </row>
    <row r="17" spans="2:13" ht="19.5" customHeight="1">
      <c r="B17" s="129" t="s">
        <v>115</v>
      </c>
      <c r="D17" s="325">
        <v>0</v>
      </c>
      <c r="E17" s="325">
        <v>0</v>
      </c>
      <c r="F17" s="325">
        <v>0</v>
      </c>
      <c r="G17" s="325">
        <f>SUM(D17:F17)</f>
        <v>0</v>
      </c>
      <c r="H17" s="325"/>
      <c r="J17" s="325">
        <v>900</v>
      </c>
      <c r="K17" s="325">
        <v>0</v>
      </c>
      <c r="L17" s="325">
        <v>0</v>
      </c>
      <c r="M17" s="325">
        <f>SUM(J17:L17)</f>
        <v>900</v>
      </c>
    </row>
    <row r="18" spans="2:13" ht="19.5" customHeight="1">
      <c r="B18" s="129" t="s">
        <v>1813</v>
      </c>
      <c r="D18" s="325">
        <v>0</v>
      </c>
      <c r="E18" s="325">
        <v>2000</v>
      </c>
      <c r="F18" s="325">
        <v>0</v>
      </c>
      <c r="G18" s="325">
        <f>SUM(D18:F18)</f>
        <v>2000</v>
      </c>
      <c r="H18" s="325"/>
      <c r="J18" s="325">
        <v>0</v>
      </c>
      <c r="K18" s="325">
        <v>0</v>
      </c>
      <c r="L18" s="325">
        <v>0</v>
      </c>
      <c r="M18" s="325">
        <f>SUM(J18:L18)</f>
        <v>0</v>
      </c>
    </row>
    <row r="19" spans="2:13" ht="19.5" customHeight="1">
      <c r="B19" s="129" t="s">
        <v>1814</v>
      </c>
      <c r="D19" s="325">
        <v>0</v>
      </c>
      <c r="E19" s="325">
        <v>2999.77</v>
      </c>
      <c r="F19" s="325">
        <v>0</v>
      </c>
      <c r="G19" s="325">
        <f>SUM(D19:F19)</f>
        <v>2999.77</v>
      </c>
      <c r="H19" s="325"/>
      <c r="J19" s="325">
        <v>0</v>
      </c>
      <c r="K19" s="325">
        <v>0</v>
      </c>
      <c r="L19" s="325">
        <v>0</v>
      </c>
      <c r="M19" s="325">
        <f>SUM(J19:L19)</f>
        <v>0</v>
      </c>
    </row>
    <row r="20" spans="4:13" ht="4.5" customHeight="1">
      <c r="D20" s="326"/>
      <c r="E20" s="326"/>
      <c r="F20" s="327"/>
      <c r="G20" s="326"/>
      <c r="H20" s="326"/>
      <c r="J20" s="326"/>
      <c r="K20" s="326"/>
      <c r="L20" s="327"/>
      <c r="M20" s="326"/>
    </row>
    <row r="21" spans="2:13" ht="19.5" customHeight="1">
      <c r="B21" s="129" t="s">
        <v>1589</v>
      </c>
      <c r="J21" s="326"/>
      <c r="K21" s="326"/>
      <c r="L21" s="326"/>
      <c r="M21" s="326"/>
    </row>
    <row r="22" ht="19.5" customHeight="1">
      <c r="N22" s="320" t="s">
        <v>720</v>
      </c>
    </row>
    <row r="23" spans="3:14" ht="19.5" customHeight="1">
      <c r="C23" s="1158" t="s">
        <v>541</v>
      </c>
      <c r="D23" s="1158"/>
      <c r="E23" s="1158"/>
      <c r="F23" s="1158"/>
      <c r="G23" s="1158"/>
      <c r="H23" s="1158"/>
      <c r="J23" s="1158" t="s">
        <v>370</v>
      </c>
      <c r="K23" s="1158"/>
      <c r="L23" s="1158"/>
      <c r="M23" s="1158"/>
      <c r="N23" s="1158"/>
    </row>
    <row r="24" spans="3:14" ht="19.5" customHeight="1">
      <c r="C24" s="1157">
        <v>2560</v>
      </c>
      <c r="D24" s="1157"/>
      <c r="E24" s="1157"/>
      <c r="F24" s="1157"/>
      <c r="G24" s="1157"/>
      <c r="H24" s="1157"/>
      <c r="J24" s="1157">
        <v>2559</v>
      </c>
      <c r="K24" s="1157"/>
      <c r="L24" s="1157"/>
      <c r="M24" s="1157"/>
      <c r="N24" s="1157"/>
    </row>
    <row r="25" spans="3:14" ht="19.5" customHeight="1">
      <c r="C25" s="322" t="s">
        <v>731</v>
      </c>
      <c r="D25" s="322" t="s">
        <v>40</v>
      </c>
      <c r="E25" s="322" t="s">
        <v>732</v>
      </c>
      <c r="F25" s="322" t="s">
        <v>212</v>
      </c>
      <c r="G25" s="359" t="s">
        <v>721</v>
      </c>
      <c r="H25" s="359"/>
      <c r="J25" s="322" t="s">
        <v>731</v>
      </c>
      <c r="K25" s="322" t="s">
        <v>40</v>
      </c>
      <c r="L25" s="322" t="s">
        <v>732</v>
      </c>
      <c r="M25" s="322" t="s">
        <v>212</v>
      </c>
      <c r="N25" s="322" t="s">
        <v>721</v>
      </c>
    </row>
    <row r="26" spans="3:14" ht="19.5" customHeight="1">
      <c r="C26" s="323"/>
      <c r="D26" s="321" t="s">
        <v>733</v>
      </c>
      <c r="E26" s="321" t="s">
        <v>733</v>
      </c>
      <c r="F26" s="321"/>
      <c r="G26" s="360"/>
      <c r="H26" s="360"/>
      <c r="J26" s="323"/>
      <c r="K26" s="321" t="s">
        <v>733</v>
      </c>
      <c r="L26" s="321" t="s">
        <v>733</v>
      </c>
      <c r="M26" s="321"/>
      <c r="N26" s="323"/>
    </row>
    <row r="27" spans="2:10" ht="19.5" customHeight="1">
      <c r="B27" s="324" t="s">
        <v>726</v>
      </c>
      <c r="C27" s="324"/>
      <c r="J27" s="324"/>
    </row>
    <row r="28" spans="2:15" ht="19.5" customHeight="1">
      <c r="B28" s="129" t="s">
        <v>727</v>
      </c>
      <c r="C28" s="325">
        <v>92.4</v>
      </c>
      <c r="D28" s="325">
        <v>0</v>
      </c>
      <c r="E28" s="325">
        <v>0</v>
      </c>
      <c r="F28" s="325">
        <f>SUM(C28:E28)</f>
        <v>92.4</v>
      </c>
      <c r="G28" s="361" t="s">
        <v>881</v>
      </c>
      <c r="H28" s="361"/>
      <c r="J28" s="325">
        <v>101.28</v>
      </c>
      <c r="K28" s="325">
        <v>0</v>
      </c>
      <c r="L28" s="325">
        <v>0</v>
      </c>
      <c r="M28" s="325">
        <f>SUM(J28:L28)</f>
        <v>101.28</v>
      </c>
      <c r="N28" s="328" t="s">
        <v>881</v>
      </c>
      <c r="O28" s="361"/>
    </row>
    <row r="29" spans="2:15" ht="19.5" customHeight="1">
      <c r="B29" s="129" t="s">
        <v>985</v>
      </c>
      <c r="C29" s="325">
        <v>61.04</v>
      </c>
      <c r="D29" s="325">
        <v>0</v>
      </c>
      <c r="E29" s="325">
        <v>0</v>
      </c>
      <c r="F29" s="325">
        <f>SUM(C29:E29)</f>
        <v>61.04</v>
      </c>
      <c r="G29" s="361" t="s">
        <v>1873</v>
      </c>
      <c r="H29" s="361"/>
      <c r="J29" s="356">
        <v>0</v>
      </c>
      <c r="K29" s="356">
        <v>0</v>
      </c>
      <c r="L29" s="356">
        <v>0</v>
      </c>
      <c r="M29" s="356">
        <f>SUM(J29:L29)</f>
        <v>0</v>
      </c>
      <c r="N29" s="328" t="s">
        <v>1804</v>
      </c>
      <c r="O29" s="361"/>
    </row>
    <row r="30" spans="2:15" ht="19.5" customHeight="1">
      <c r="B30" s="324" t="s">
        <v>728</v>
      </c>
      <c r="C30" s="325"/>
      <c r="D30" s="325"/>
      <c r="E30" s="325"/>
      <c r="F30" s="325"/>
      <c r="G30" s="325"/>
      <c r="H30" s="325"/>
      <c r="J30" s="325"/>
      <c r="K30" s="325"/>
      <c r="L30" s="325"/>
      <c r="M30" s="325"/>
      <c r="N30" s="325"/>
      <c r="O30" s="325"/>
    </row>
    <row r="31" spans="2:15" ht="19.5" customHeight="1">
      <c r="B31" s="129" t="s">
        <v>729</v>
      </c>
      <c r="C31" s="325">
        <v>0</v>
      </c>
      <c r="D31" s="325">
        <v>4080</v>
      </c>
      <c r="E31" s="325">
        <v>0</v>
      </c>
      <c r="F31" s="325">
        <f>SUM(C31:E31)</f>
        <v>4080</v>
      </c>
      <c r="G31" s="361" t="s">
        <v>1875</v>
      </c>
      <c r="H31" s="361"/>
      <c r="J31" s="325">
        <v>0</v>
      </c>
      <c r="K31" s="325">
        <v>560</v>
      </c>
      <c r="L31" s="325">
        <v>0</v>
      </c>
      <c r="M31" s="325">
        <f>SUM(J31:L31)</f>
        <v>560</v>
      </c>
      <c r="N31" s="328" t="s">
        <v>882</v>
      </c>
      <c r="O31" s="361"/>
    </row>
    <row r="32" spans="3:15" ht="19.5" customHeight="1">
      <c r="C32" s="325"/>
      <c r="D32" s="325"/>
      <c r="E32" s="325"/>
      <c r="F32" s="325"/>
      <c r="G32" s="361" t="s">
        <v>1874</v>
      </c>
      <c r="H32" s="361"/>
      <c r="J32" s="325"/>
      <c r="K32" s="325"/>
      <c r="L32" s="325"/>
      <c r="M32" s="325"/>
      <c r="N32" s="328" t="s">
        <v>806</v>
      </c>
      <c r="O32" s="361"/>
    </row>
    <row r="33" spans="2:15" ht="19.5" customHeight="1">
      <c r="B33" s="355" t="s">
        <v>730</v>
      </c>
      <c r="C33" s="356">
        <v>0</v>
      </c>
      <c r="D33" s="356">
        <v>0</v>
      </c>
      <c r="E33" s="356">
        <v>0</v>
      </c>
      <c r="F33" s="325">
        <f>SUM(C33:E33)</f>
        <v>0</v>
      </c>
      <c r="G33" s="361" t="s">
        <v>1804</v>
      </c>
      <c r="H33" s="361"/>
      <c r="I33" s="355"/>
      <c r="J33" s="356">
        <v>0</v>
      </c>
      <c r="K33" s="356">
        <v>300</v>
      </c>
      <c r="L33" s="356">
        <v>0</v>
      </c>
      <c r="M33" s="356">
        <f>SUM(J33:L33)</f>
        <v>300</v>
      </c>
      <c r="N33" s="328" t="s">
        <v>883</v>
      </c>
      <c r="O33" s="361"/>
    </row>
    <row r="34" spans="2:15" ht="19.5" customHeight="1">
      <c r="B34" s="355"/>
      <c r="C34" s="356"/>
      <c r="D34" s="356"/>
      <c r="E34" s="356"/>
      <c r="F34" s="356"/>
      <c r="G34" s="361"/>
      <c r="H34" s="361"/>
      <c r="I34" s="355"/>
      <c r="J34" s="356"/>
      <c r="K34" s="356"/>
      <c r="L34" s="356"/>
      <c r="M34" s="356"/>
      <c r="N34" s="328" t="s">
        <v>806</v>
      </c>
      <c r="O34" s="361"/>
    </row>
    <row r="35" spans="2:15" ht="19.5" customHeight="1">
      <c r="B35" s="355" t="s">
        <v>115</v>
      </c>
      <c r="C35" s="356">
        <v>0</v>
      </c>
      <c r="D35" s="356">
        <v>0</v>
      </c>
      <c r="E35" s="356">
        <v>0</v>
      </c>
      <c r="F35" s="325">
        <f>SUM(C35:E35)</f>
        <v>0</v>
      </c>
      <c r="G35" s="361" t="s">
        <v>1804</v>
      </c>
      <c r="H35" s="361"/>
      <c r="I35" s="355"/>
      <c r="J35" s="356">
        <v>0</v>
      </c>
      <c r="K35" s="356">
        <v>0</v>
      </c>
      <c r="L35" s="356">
        <v>900</v>
      </c>
      <c r="M35" s="356">
        <f>SUM(J35:L35)</f>
        <v>900</v>
      </c>
      <c r="N35" s="328" t="s">
        <v>883</v>
      </c>
      <c r="O35" s="361"/>
    </row>
    <row r="36" spans="2:15" ht="19.5" customHeight="1">
      <c r="B36" s="355"/>
      <c r="C36" s="356"/>
      <c r="D36" s="356"/>
      <c r="E36" s="356"/>
      <c r="F36" s="356"/>
      <c r="G36" s="361"/>
      <c r="H36" s="361"/>
      <c r="I36" s="355"/>
      <c r="J36" s="356"/>
      <c r="K36" s="356"/>
      <c r="L36" s="356"/>
      <c r="M36" s="356"/>
      <c r="N36" s="328" t="s">
        <v>806</v>
      </c>
      <c r="O36" s="361"/>
    </row>
    <row r="37" spans="2:15" ht="19.5" customHeight="1">
      <c r="B37" s="129" t="s">
        <v>1813</v>
      </c>
      <c r="C37" s="356">
        <v>0</v>
      </c>
      <c r="D37" s="356">
        <v>0</v>
      </c>
      <c r="E37" s="325">
        <v>2000</v>
      </c>
      <c r="F37" s="325">
        <f>SUM(C37:E37)</f>
        <v>2000</v>
      </c>
      <c r="G37" s="361" t="s">
        <v>1818</v>
      </c>
      <c r="H37" s="361"/>
      <c r="I37" s="355"/>
      <c r="J37" s="356">
        <v>0</v>
      </c>
      <c r="K37" s="356">
        <v>0</v>
      </c>
      <c r="L37" s="356">
        <v>0</v>
      </c>
      <c r="M37" s="356">
        <f>SUM(J37:L37)</f>
        <v>0</v>
      </c>
      <c r="N37" s="328" t="s">
        <v>1804</v>
      </c>
      <c r="O37" s="361"/>
    </row>
    <row r="38" spans="2:15" ht="19.5" customHeight="1">
      <c r="B38" s="129" t="s">
        <v>1814</v>
      </c>
      <c r="C38" s="356">
        <v>0</v>
      </c>
      <c r="D38" s="356">
        <v>0</v>
      </c>
      <c r="E38" s="325">
        <v>2999.77</v>
      </c>
      <c r="F38" s="325">
        <f>SUM(C38:E38)</f>
        <v>2999.77</v>
      </c>
      <c r="G38" s="361">
        <v>0.007</v>
      </c>
      <c r="H38" s="361"/>
      <c r="I38" s="355"/>
      <c r="J38" s="356">
        <v>0</v>
      </c>
      <c r="K38" s="356">
        <v>0</v>
      </c>
      <c r="L38" s="356">
        <v>0</v>
      </c>
      <c r="M38" s="356">
        <f>SUM(J38:L38)</f>
        <v>0</v>
      </c>
      <c r="N38" s="328" t="s">
        <v>1804</v>
      </c>
      <c r="O38" s="361"/>
    </row>
    <row r="39" spans="3:14" ht="16.5" customHeight="1">
      <c r="C39" s="325"/>
      <c r="D39" s="325"/>
      <c r="E39" s="325"/>
      <c r="F39" s="325"/>
      <c r="G39" s="329"/>
      <c r="H39" s="329"/>
      <c r="J39" s="325"/>
      <c r="K39" s="325"/>
      <c r="L39" s="325"/>
      <c r="M39" s="325"/>
      <c r="N39" s="329"/>
    </row>
    <row r="40" spans="4:10" ht="19.5" customHeight="1">
      <c r="D40" s="48" t="s">
        <v>1910</v>
      </c>
      <c r="J40" s="326"/>
    </row>
    <row r="41" ht="19.5" customHeight="1">
      <c r="D41" s="48"/>
    </row>
  </sheetData>
  <sheetProtection/>
  <mergeCells count="9">
    <mergeCell ref="C24:H24"/>
    <mergeCell ref="D8:G8"/>
    <mergeCell ref="J8:M8"/>
    <mergeCell ref="J24:N24"/>
    <mergeCell ref="A1:N1"/>
    <mergeCell ref="D7:G7"/>
    <mergeCell ref="J7:M7"/>
    <mergeCell ref="C23:H23"/>
    <mergeCell ref="J23:N23"/>
  </mergeCells>
  <printOptions horizontalCentered="1"/>
  <pageMargins left="0.2362204724409449" right="0.2362204724409449" top="0.3937007874015748" bottom="0" header="0.15748031496062992" footer="0.15748031496062992"/>
  <pageSetup fitToHeight="1" fitToWidth="1" horizontalDpi="600" verticalDpi="600" orientation="landscape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SheetLayoutView="90" workbookViewId="0" topLeftCell="A1">
      <selection activeCell="M37" sqref="M37"/>
    </sheetView>
  </sheetViews>
  <sheetFormatPr defaultColWidth="9.140625" defaultRowHeight="19.5" customHeight="1"/>
  <cols>
    <col min="1" max="1" width="3.7109375" style="129" customWidth="1"/>
    <col min="2" max="2" width="44.421875" style="129" customWidth="1"/>
    <col min="3" max="6" width="11.57421875" style="129" customWidth="1"/>
    <col min="7" max="7" width="11.421875" style="129" customWidth="1"/>
    <col min="8" max="8" width="10.00390625" style="129" customWidth="1"/>
    <col min="9" max="9" width="1.7109375" style="129" customWidth="1"/>
    <col min="10" max="13" width="11.57421875" style="129" customWidth="1"/>
    <col min="14" max="14" width="20.421875" style="129" customWidth="1"/>
    <col min="15" max="15" width="7.28125" style="129" customWidth="1"/>
    <col min="16" max="16384" width="9.140625" style="129" customWidth="1"/>
  </cols>
  <sheetData>
    <row r="1" spans="1:14" ht="19.5" customHeight="1">
      <c r="A1" s="1158" t="s">
        <v>1802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8"/>
      <c r="M1" s="1158"/>
      <c r="N1" s="1158"/>
    </row>
    <row r="2" spans="1:14" ht="4.5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</row>
    <row r="3" ht="19.5" customHeight="1">
      <c r="A3" s="5" t="s">
        <v>1790</v>
      </c>
    </row>
    <row r="4" spans="1:2" ht="19.5" customHeight="1">
      <c r="A4" s="5"/>
      <c r="B4" s="129" t="s">
        <v>1791</v>
      </c>
    </row>
    <row r="5" ht="19.5" customHeight="1">
      <c r="B5" s="129" t="s">
        <v>1588</v>
      </c>
    </row>
    <row r="6" ht="19.5" customHeight="1">
      <c r="M6" s="320" t="s">
        <v>720</v>
      </c>
    </row>
    <row r="7" spans="4:13" ht="19.5" customHeight="1">
      <c r="D7" s="1159" t="s">
        <v>126</v>
      </c>
      <c r="E7" s="1159"/>
      <c r="F7" s="1159"/>
      <c r="G7" s="1159"/>
      <c r="H7" s="1159"/>
      <c r="I7" s="1159"/>
      <c r="J7" s="1159"/>
      <c r="K7" s="1159"/>
      <c r="L7" s="1159"/>
      <c r="M7" s="1159"/>
    </row>
    <row r="8" spans="2:13" ht="19.5" customHeight="1">
      <c r="B8" s="129" t="s">
        <v>621</v>
      </c>
      <c r="D8" s="1157">
        <v>2560</v>
      </c>
      <c r="E8" s="1157"/>
      <c r="F8" s="1157"/>
      <c r="G8" s="1157"/>
      <c r="H8" s="357"/>
      <c r="J8" s="1157">
        <v>2559</v>
      </c>
      <c r="K8" s="1157"/>
      <c r="L8" s="1157"/>
      <c r="M8" s="1157"/>
    </row>
    <row r="9" spans="4:13" ht="19.5" customHeight="1">
      <c r="D9" s="322" t="s">
        <v>721</v>
      </c>
      <c r="E9" s="322" t="s">
        <v>721</v>
      </c>
      <c r="F9" s="322" t="s">
        <v>722</v>
      </c>
      <c r="G9" s="322" t="s">
        <v>212</v>
      </c>
      <c r="H9" s="357"/>
      <c r="J9" s="322" t="s">
        <v>721</v>
      </c>
      <c r="K9" s="322" t="s">
        <v>721</v>
      </c>
      <c r="L9" s="322" t="s">
        <v>722</v>
      </c>
      <c r="M9" s="322" t="s">
        <v>212</v>
      </c>
    </row>
    <row r="10" spans="4:13" ht="19.5" customHeight="1">
      <c r="D10" s="321" t="s">
        <v>723</v>
      </c>
      <c r="E10" s="321" t="s">
        <v>724</v>
      </c>
      <c r="F10" s="321" t="s">
        <v>725</v>
      </c>
      <c r="G10" s="323"/>
      <c r="H10" s="358"/>
      <c r="J10" s="321" t="s">
        <v>723</v>
      </c>
      <c r="K10" s="321" t="s">
        <v>724</v>
      </c>
      <c r="L10" s="321" t="s">
        <v>725</v>
      </c>
      <c r="M10" s="323"/>
    </row>
    <row r="11" spans="2:3" ht="19.5" customHeight="1">
      <c r="B11" s="324" t="s">
        <v>726</v>
      </c>
      <c r="C11" s="324"/>
    </row>
    <row r="12" spans="2:13" ht="19.5" customHeight="1">
      <c r="B12" s="129" t="s">
        <v>727</v>
      </c>
      <c r="D12" s="325">
        <v>85.99</v>
      </c>
      <c r="E12" s="325">
        <v>0</v>
      </c>
      <c r="F12" s="325">
        <v>5.29</v>
      </c>
      <c r="G12" s="325">
        <f>SUM(D12:F12)</f>
        <v>91.28</v>
      </c>
      <c r="H12" s="325"/>
      <c r="J12" s="325">
        <v>101.28</v>
      </c>
      <c r="K12" s="325">
        <v>0</v>
      </c>
      <c r="L12" s="325">
        <v>2.85</v>
      </c>
      <c r="M12" s="325">
        <f>SUM(J12:L12)</f>
        <v>104.13</v>
      </c>
    </row>
    <row r="13" spans="2:13" ht="19.5" customHeight="1">
      <c r="B13" s="324" t="s">
        <v>728</v>
      </c>
      <c r="C13" s="324"/>
      <c r="D13" s="325"/>
      <c r="E13" s="325"/>
      <c r="F13" s="325"/>
      <c r="G13" s="325"/>
      <c r="H13" s="325"/>
      <c r="J13" s="325"/>
      <c r="K13" s="325"/>
      <c r="L13" s="325"/>
      <c r="M13" s="325"/>
    </row>
    <row r="14" spans="2:13" ht="19.5" customHeight="1">
      <c r="B14" s="129" t="s">
        <v>729</v>
      </c>
      <c r="D14" s="325">
        <v>4080</v>
      </c>
      <c r="E14" s="325"/>
      <c r="F14" s="325"/>
      <c r="G14" s="325">
        <f>SUM(D14:F14)</f>
        <v>4080</v>
      </c>
      <c r="H14" s="325"/>
      <c r="J14" s="325">
        <v>560</v>
      </c>
      <c r="K14" s="325">
        <v>0</v>
      </c>
      <c r="L14" s="325">
        <v>0</v>
      </c>
      <c r="M14" s="325">
        <f>SUM(J14:L14)</f>
        <v>560</v>
      </c>
    </row>
    <row r="15" spans="2:13" ht="19.5" customHeight="1">
      <c r="B15" s="129" t="s">
        <v>730</v>
      </c>
      <c r="D15" s="325">
        <v>0</v>
      </c>
      <c r="E15" s="325">
        <v>0</v>
      </c>
      <c r="F15" s="325">
        <v>0</v>
      </c>
      <c r="G15" s="325">
        <f>SUM(D15:F15)</f>
        <v>0</v>
      </c>
      <c r="H15" s="325"/>
      <c r="J15" s="325">
        <v>300</v>
      </c>
      <c r="K15" s="325">
        <v>0</v>
      </c>
      <c r="L15" s="325">
        <v>0</v>
      </c>
      <c r="M15" s="325">
        <f>SUM(J15:L15)</f>
        <v>300</v>
      </c>
    </row>
    <row r="16" spans="2:13" ht="19.5" customHeight="1">
      <c r="B16" s="129" t="s">
        <v>115</v>
      </c>
      <c r="D16" s="325">
        <v>0</v>
      </c>
      <c r="E16" s="325">
        <v>0</v>
      </c>
      <c r="F16" s="325">
        <v>0</v>
      </c>
      <c r="G16" s="325">
        <f>SUM(D16:F16)</f>
        <v>0</v>
      </c>
      <c r="H16" s="325"/>
      <c r="J16" s="325">
        <v>900</v>
      </c>
      <c r="K16" s="325">
        <v>0</v>
      </c>
      <c r="L16" s="325">
        <v>0</v>
      </c>
      <c r="M16" s="325">
        <f>SUM(J16:L16)</f>
        <v>900</v>
      </c>
    </row>
    <row r="17" spans="2:13" ht="19.5" customHeight="1">
      <c r="B17" s="129" t="s">
        <v>1813</v>
      </c>
      <c r="D17" s="325">
        <v>0</v>
      </c>
      <c r="E17" s="325">
        <v>2000</v>
      </c>
      <c r="F17" s="325">
        <v>0</v>
      </c>
      <c r="G17" s="325">
        <f>SUM(D17:F17)</f>
        <v>2000</v>
      </c>
      <c r="H17" s="325"/>
      <c r="J17" s="325">
        <v>0</v>
      </c>
      <c r="K17" s="325">
        <v>0</v>
      </c>
      <c r="L17" s="325">
        <v>0</v>
      </c>
      <c r="M17" s="325">
        <f>SUM(J17:L17)</f>
        <v>0</v>
      </c>
    </row>
    <row r="18" spans="2:13" ht="19.5" customHeight="1">
      <c r="B18" s="129" t="s">
        <v>1814</v>
      </c>
      <c r="D18" s="325">
        <v>0</v>
      </c>
      <c r="E18" s="325">
        <v>2999.77</v>
      </c>
      <c r="F18" s="325">
        <v>0</v>
      </c>
      <c r="G18" s="325">
        <f>SUM(D18:F18)</f>
        <v>2999.77</v>
      </c>
      <c r="H18" s="325"/>
      <c r="J18" s="325">
        <v>0</v>
      </c>
      <c r="K18" s="325">
        <v>0</v>
      </c>
      <c r="L18" s="325">
        <v>0</v>
      </c>
      <c r="M18" s="325">
        <f>SUM(J18:L18)</f>
        <v>0</v>
      </c>
    </row>
    <row r="19" spans="4:13" ht="3.75" customHeight="1">
      <c r="D19" s="326"/>
      <c r="E19" s="326"/>
      <c r="F19" s="327"/>
      <c r="G19" s="326"/>
      <c r="H19" s="326"/>
      <c r="J19" s="326"/>
      <c r="K19" s="326"/>
      <c r="L19" s="327"/>
      <c r="M19" s="326"/>
    </row>
    <row r="20" spans="2:13" ht="19.5" customHeight="1">
      <c r="B20" s="129" t="s">
        <v>1589</v>
      </c>
      <c r="J20" s="326"/>
      <c r="K20" s="326"/>
      <c r="L20" s="326"/>
      <c r="M20" s="326"/>
    </row>
    <row r="21" ht="19.5" customHeight="1">
      <c r="N21" s="320" t="s">
        <v>720</v>
      </c>
    </row>
    <row r="22" spans="3:14" ht="19.5" customHeight="1">
      <c r="C22" s="1158" t="s">
        <v>126</v>
      </c>
      <c r="D22" s="1158"/>
      <c r="E22" s="1158"/>
      <c r="F22" s="1158"/>
      <c r="G22" s="1158"/>
      <c r="H22" s="1158"/>
      <c r="I22" s="1158"/>
      <c r="J22" s="1158"/>
      <c r="K22" s="1158"/>
      <c r="L22" s="1158"/>
      <c r="M22" s="1158"/>
      <c r="N22" s="1158"/>
    </row>
    <row r="23" spans="3:14" ht="19.5" customHeight="1">
      <c r="C23" s="1157">
        <v>2560</v>
      </c>
      <c r="D23" s="1157"/>
      <c r="E23" s="1157"/>
      <c r="F23" s="1157"/>
      <c r="G23" s="1157"/>
      <c r="H23" s="1157"/>
      <c r="J23" s="1157">
        <v>2559</v>
      </c>
      <c r="K23" s="1157"/>
      <c r="L23" s="1157"/>
      <c r="M23" s="1157"/>
      <c r="N23" s="1157"/>
    </row>
    <row r="24" spans="3:14" ht="19.5" customHeight="1">
      <c r="C24" s="322" t="s">
        <v>731</v>
      </c>
      <c r="D24" s="322" t="s">
        <v>40</v>
      </c>
      <c r="E24" s="322" t="s">
        <v>732</v>
      </c>
      <c r="F24" s="322" t="s">
        <v>212</v>
      </c>
      <c r="G24" s="359" t="s">
        <v>721</v>
      </c>
      <c r="H24" s="359"/>
      <c r="J24" s="322" t="s">
        <v>731</v>
      </c>
      <c r="K24" s="322" t="s">
        <v>40</v>
      </c>
      <c r="L24" s="322" t="s">
        <v>732</v>
      </c>
      <c r="M24" s="322" t="s">
        <v>212</v>
      </c>
      <c r="N24" s="322" t="s">
        <v>721</v>
      </c>
    </row>
    <row r="25" spans="3:14" ht="19.5" customHeight="1">
      <c r="C25" s="323"/>
      <c r="D25" s="321" t="s">
        <v>733</v>
      </c>
      <c r="E25" s="321" t="s">
        <v>733</v>
      </c>
      <c r="F25" s="321"/>
      <c r="G25" s="360"/>
      <c r="H25" s="360"/>
      <c r="J25" s="323"/>
      <c r="K25" s="321" t="s">
        <v>733</v>
      </c>
      <c r="L25" s="321" t="s">
        <v>733</v>
      </c>
      <c r="M25" s="321"/>
      <c r="N25" s="323"/>
    </row>
    <row r="26" spans="2:10" ht="19.5" customHeight="1">
      <c r="B26" s="324" t="s">
        <v>726</v>
      </c>
      <c r="C26" s="324"/>
      <c r="J26" s="324"/>
    </row>
    <row r="27" spans="2:15" ht="19.5" customHeight="1">
      <c r="B27" s="129" t="s">
        <v>727</v>
      </c>
      <c r="C27" s="325">
        <v>91.28</v>
      </c>
      <c r="D27" s="325">
        <v>0</v>
      </c>
      <c r="E27" s="325">
        <v>0</v>
      </c>
      <c r="F27" s="325">
        <f>SUM(C27:E27)</f>
        <v>91.28</v>
      </c>
      <c r="G27" s="361" t="s">
        <v>881</v>
      </c>
      <c r="H27" s="361"/>
      <c r="J27" s="325">
        <v>101.28</v>
      </c>
      <c r="K27" s="325">
        <v>0</v>
      </c>
      <c r="L27" s="325">
        <v>0</v>
      </c>
      <c r="M27" s="325">
        <f>SUM(J27:L27)</f>
        <v>101.28</v>
      </c>
      <c r="N27" s="328" t="s">
        <v>881</v>
      </c>
      <c r="O27" s="361"/>
    </row>
    <row r="28" spans="2:15" ht="19.5" customHeight="1">
      <c r="B28" s="324" t="s">
        <v>728</v>
      </c>
      <c r="C28" s="325"/>
      <c r="D28" s="325"/>
      <c r="E28" s="325"/>
      <c r="F28" s="325"/>
      <c r="G28" s="325"/>
      <c r="H28" s="325"/>
      <c r="J28" s="325"/>
      <c r="K28" s="325"/>
      <c r="L28" s="325"/>
      <c r="M28" s="325"/>
      <c r="N28" s="325"/>
      <c r="O28" s="325"/>
    </row>
    <row r="29" spans="2:15" ht="19.5" customHeight="1">
      <c r="B29" s="129" t="s">
        <v>729</v>
      </c>
      <c r="C29" s="325">
        <v>0</v>
      </c>
      <c r="D29" s="325">
        <v>4080</v>
      </c>
      <c r="E29" s="325">
        <v>0</v>
      </c>
      <c r="F29" s="325">
        <f>SUM(C29:E29)</f>
        <v>4080</v>
      </c>
      <c r="G29" s="361" t="s">
        <v>1815</v>
      </c>
      <c r="H29" s="361"/>
      <c r="J29" s="325">
        <v>0</v>
      </c>
      <c r="K29" s="325">
        <v>560</v>
      </c>
      <c r="L29" s="325">
        <v>0</v>
      </c>
      <c r="M29" s="325">
        <f>SUM(J29:L29)</f>
        <v>560</v>
      </c>
      <c r="N29" s="328" t="s">
        <v>882</v>
      </c>
      <c r="O29" s="361"/>
    </row>
    <row r="30" spans="3:15" ht="19.5" customHeight="1">
      <c r="C30" s="325"/>
      <c r="D30" s="325"/>
      <c r="E30" s="325"/>
      <c r="F30" s="325"/>
      <c r="G30" s="361" t="s">
        <v>1816</v>
      </c>
      <c r="H30" s="361"/>
      <c r="J30" s="325"/>
      <c r="K30" s="325"/>
      <c r="L30" s="325"/>
      <c r="M30" s="325"/>
      <c r="N30" s="328" t="s">
        <v>806</v>
      </c>
      <c r="O30" s="361"/>
    </row>
    <row r="31" spans="3:15" ht="19.5" customHeight="1">
      <c r="C31" s="325"/>
      <c r="D31" s="325"/>
      <c r="E31" s="325"/>
      <c r="F31" s="325"/>
      <c r="G31" s="361" t="s">
        <v>1817</v>
      </c>
      <c r="H31" s="361"/>
      <c r="J31" s="325"/>
      <c r="K31" s="325"/>
      <c r="L31" s="325"/>
      <c r="M31" s="325"/>
      <c r="N31" s="328"/>
      <c r="O31" s="361"/>
    </row>
    <row r="32" spans="2:15" ht="19.5" customHeight="1">
      <c r="B32" s="355" t="s">
        <v>730</v>
      </c>
      <c r="C32" s="356">
        <v>0</v>
      </c>
      <c r="D32" s="356">
        <v>0</v>
      </c>
      <c r="E32" s="356">
        <v>0</v>
      </c>
      <c r="F32" s="325">
        <f>SUM(C32:E32)</f>
        <v>0</v>
      </c>
      <c r="G32" s="361" t="s">
        <v>1804</v>
      </c>
      <c r="H32" s="361"/>
      <c r="I32" s="355"/>
      <c r="J32" s="356">
        <v>0</v>
      </c>
      <c r="K32" s="356">
        <v>300</v>
      </c>
      <c r="L32" s="356">
        <v>0</v>
      </c>
      <c r="M32" s="356">
        <f>SUM(J32:L32)</f>
        <v>300</v>
      </c>
      <c r="N32" s="328" t="s">
        <v>883</v>
      </c>
      <c r="O32" s="361"/>
    </row>
    <row r="33" spans="2:15" ht="19.5" customHeight="1">
      <c r="B33" s="355"/>
      <c r="C33" s="356"/>
      <c r="D33" s="356"/>
      <c r="E33" s="356"/>
      <c r="F33" s="356"/>
      <c r="G33" s="361"/>
      <c r="H33" s="361"/>
      <c r="I33" s="355"/>
      <c r="J33" s="356"/>
      <c r="K33" s="356"/>
      <c r="L33" s="356"/>
      <c r="M33" s="356"/>
      <c r="N33" s="328" t="s">
        <v>806</v>
      </c>
      <c r="O33" s="361"/>
    </row>
    <row r="34" spans="2:15" ht="19.5" customHeight="1">
      <c r="B34" s="355" t="s">
        <v>115</v>
      </c>
      <c r="C34" s="356">
        <v>0</v>
      </c>
      <c r="D34" s="356">
        <v>0</v>
      </c>
      <c r="E34" s="356">
        <v>0</v>
      </c>
      <c r="F34" s="325">
        <f>SUM(C34:E34)</f>
        <v>0</v>
      </c>
      <c r="G34" s="361" t="s">
        <v>1804</v>
      </c>
      <c r="H34" s="361"/>
      <c r="I34" s="355"/>
      <c r="J34" s="356">
        <v>0</v>
      </c>
      <c r="K34" s="356">
        <v>0</v>
      </c>
      <c r="L34" s="356">
        <v>900</v>
      </c>
      <c r="M34" s="356">
        <f>SUM(J34:L34)</f>
        <v>900</v>
      </c>
      <c r="N34" s="328" t="s">
        <v>883</v>
      </c>
      <c r="O34" s="361"/>
    </row>
    <row r="35" spans="2:15" ht="19.5" customHeight="1">
      <c r="B35" s="355"/>
      <c r="C35" s="356"/>
      <c r="D35" s="356"/>
      <c r="E35" s="356"/>
      <c r="F35" s="356"/>
      <c r="G35" s="361"/>
      <c r="H35" s="361"/>
      <c r="I35" s="355"/>
      <c r="J35" s="356"/>
      <c r="K35" s="356"/>
      <c r="L35" s="356"/>
      <c r="M35" s="356"/>
      <c r="N35" s="328" t="s">
        <v>806</v>
      </c>
      <c r="O35" s="361"/>
    </row>
    <row r="36" spans="2:15" ht="19.5" customHeight="1">
      <c r="B36" s="129" t="s">
        <v>1813</v>
      </c>
      <c r="C36" s="356">
        <v>0</v>
      </c>
      <c r="D36" s="356">
        <v>0</v>
      </c>
      <c r="E36" s="325">
        <v>2000</v>
      </c>
      <c r="F36" s="325">
        <f>SUM(C36:E36)</f>
        <v>2000</v>
      </c>
      <c r="G36" s="361" t="s">
        <v>1818</v>
      </c>
      <c r="H36" s="361"/>
      <c r="I36" s="355"/>
      <c r="J36" s="356">
        <v>0</v>
      </c>
      <c r="K36" s="356">
        <v>0</v>
      </c>
      <c r="L36" s="356">
        <v>0</v>
      </c>
      <c r="M36" s="356">
        <f>SUM(J36:L36)</f>
        <v>0</v>
      </c>
      <c r="N36" s="328" t="s">
        <v>1804</v>
      </c>
      <c r="O36" s="361"/>
    </row>
    <row r="37" spans="2:15" ht="19.5" customHeight="1">
      <c r="B37" s="129" t="s">
        <v>1814</v>
      </c>
      <c r="C37" s="356">
        <v>0</v>
      </c>
      <c r="D37" s="356">
        <v>0</v>
      </c>
      <c r="E37" s="325">
        <v>2999.77</v>
      </c>
      <c r="F37" s="325">
        <f>SUM(C37:E37)</f>
        <v>2999.77</v>
      </c>
      <c r="G37" s="361">
        <v>0.007</v>
      </c>
      <c r="H37" s="361"/>
      <c r="I37" s="355"/>
      <c r="J37" s="356">
        <v>0</v>
      </c>
      <c r="K37" s="356">
        <v>0</v>
      </c>
      <c r="L37" s="356">
        <v>0</v>
      </c>
      <c r="M37" s="356">
        <f>SUM(J37:L37)</f>
        <v>0</v>
      </c>
      <c r="N37" s="328" t="s">
        <v>1804</v>
      </c>
      <c r="O37" s="361"/>
    </row>
    <row r="38" spans="3:14" ht="17.25" customHeight="1">
      <c r="C38" s="325"/>
      <c r="D38" s="325"/>
      <c r="E38" s="325"/>
      <c r="F38" s="325"/>
      <c r="G38" s="329"/>
      <c r="H38" s="329"/>
      <c r="J38" s="325"/>
      <c r="K38" s="325"/>
      <c r="L38" s="325"/>
      <c r="M38" s="325"/>
      <c r="N38" s="329"/>
    </row>
    <row r="39" spans="4:10" ht="19.5" customHeight="1">
      <c r="D39" s="48" t="s">
        <v>1910</v>
      </c>
      <c r="J39" s="326"/>
    </row>
    <row r="40" ht="19.5" customHeight="1">
      <c r="D40" s="48"/>
    </row>
  </sheetData>
  <sheetProtection/>
  <mergeCells count="7">
    <mergeCell ref="C23:H23"/>
    <mergeCell ref="J23:N23"/>
    <mergeCell ref="D7:M7"/>
    <mergeCell ref="C22:N22"/>
    <mergeCell ref="A1:N1"/>
    <mergeCell ref="D8:G8"/>
    <mergeCell ref="J8:M8"/>
  </mergeCells>
  <printOptions horizontalCentered="1"/>
  <pageMargins left="0.2362204724409449" right="0" top="0.3937007874015748" bottom="0" header="0.15748031496062992" footer="0.15748031496062992"/>
  <pageSetup fitToHeight="1" fitToWidth="1" horizontalDpi="600" verticalDpi="600" orientation="landscape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3"/>
  <sheetViews>
    <sheetView zoomScaleSheetLayoutView="80" zoomScalePageLayoutView="0" workbookViewId="0" topLeftCell="A37">
      <selection activeCell="G45" sqref="G45"/>
    </sheetView>
  </sheetViews>
  <sheetFormatPr defaultColWidth="9.140625" defaultRowHeight="21.75"/>
  <cols>
    <col min="1" max="1" width="9.140625" style="294" customWidth="1"/>
    <col min="2" max="2" width="14.7109375" style="294" customWidth="1"/>
    <col min="3" max="3" width="9.8515625" style="294" customWidth="1"/>
    <col min="4" max="4" width="4.7109375" style="294" customWidth="1"/>
    <col min="5" max="5" width="18.00390625" style="294" customWidth="1"/>
    <col min="6" max="6" width="0.85546875" style="294" customWidth="1"/>
    <col min="7" max="7" width="18.8515625" style="294" customWidth="1"/>
    <col min="8" max="8" width="0.85546875" style="294" customWidth="1"/>
    <col min="9" max="9" width="18.00390625" style="294" customWidth="1"/>
    <col min="10" max="10" width="0.85546875" style="294" customWidth="1"/>
    <col min="11" max="11" width="19.00390625" style="294" customWidth="1"/>
    <col min="12" max="12" width="3.140625" style="294" customWidth="1"/>
    <col min="13" max="13" width="2.57421875" style="294" customWidth="1"/>
    <col min="14" max="16384" width="9.140625" style="294" customWidth="1"/>
  </cols>
  <sheetData>
    <row r="1" spans="1:12" ht="23.25">
      <c r="A1" s="1160" t="s">
        <v>1803</v>
      </c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338"/>
    </row>
    <row r="2" spans="1:12" ht="15.75" customHeigh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1:6" s="335" customFormat="1" ht="23.25">
      <c r="A3" s="260" t="s">
        <v>1792</v>
      </c>
      <c r="F3" s="336"/>
    </row>
    <row r="4" spans="1:6" s="335" customFormat="1" ht="23.25">
      <c r="A4" s="334"/>
      <c r="B4" s="335" t="s">
        <v>400</v>
      </c>
      <c r="F4" s="336"/>
    </row>
    <row r="5" spans="1:6" s="335" customFormat="1" ht="23.25">
      <c r="A5" s="334" t="s">
        <v>1590</v>
      </c>
      <c r="F5" s="336"/>
    </row>
    <row r="6" spans="1:6" s="335" customFormat="1" ht="23.25">
      <c r="A6" s="334" t="s">
        <v>1591</v>
      </c>
      <c r="F6" s="336"/>
    </row>
    <row r="7" spans="1:6" s="335" customFormat="1" ht="23.25">
      <c r="A7" s="334" t="s">
        <v>1592</v>
      </c>
      <c r="F7" s="336"/>
    </row>
    <row r="8" spans="1:6" s="335" customFormat="1" ht="23.25">
      <c r="A8" s="334" t="s">
        <v>1593</v>
      </c>
      <c r="F8" s="336"/>
    </row>
    <row r="9" spans="1:6" s="335" customFormat="1" ht="3.75" customHeight="1">
      <c r="A9" s="334"/>
      <c r="F9" s="336"/>
    </row>
    <row r="10" spans="1:6" s="335" customFormat="1" ht="23.25">
      <c r="A10" s="334"/>
      <c r="B10" s="335" t="s">
        <v>401</v>
      </c>
      <c r="F10" s="336"/>
    </row>
    <row r="11" spans="1:6" s="335" customFormat="1" ht="23.25">
      <c r="A11" s="334" t="s">
        <v>1594</v>
      </c>
      <c r="F11" s="336"/>
    </row>
    <row r="12" spans="1:6" s="335" customFormat="1" ht="6.75" customHeight="1">
      <c r="A12" s="334"/>
      <c r="F12" s="336"/>
    </row>
    <row r="13" spans="2:6" s="335" customFormat="1" ht="23.25">
      <c r="B13" s="334" t="s">
        <v>402</v>
      </c>
      <c r="C13" s="335" t="s">
        <v>403</v>
      </c>
      <c r="F13" s="336"/>
    </row>
    <row r="14" spans="2:6" s="335" customFormat="1" ht="23.25">
      <c r="B14" s="334"/>
      <c r="C14" s="335" t="s">
        <v>404</v>
      </c>
      <c r="F14" s="336"/>
    </row>
    <row r="15" spans="2:6" s="335" customFormat="1" ht="23.25">
      <c r="B15" s="334" t="s">
        <v>405</v>
      </c>
      <c r="C15" s="335" t="s">
        <v>406</v>
      </c>
      <c r="F15" s="336"/>
    </row>
    <row r="16" spans="2:6" s="335" customFormat="1" ht="23.25">
      <c r="B16" s="334"/>
      <c r="C16" s="335" t="s">
        <v>407</v>
      </c>
      <c r="F16" s="336"/>
    </row>
    <row r="17" spans="2:6" s="335" customFormat="1" ht="23.25">
      <c r="B17" s="334" t="s">
        <v>408</v>
      </c>
      <c r="C17" s="335" t="s">
        <v>409</v>
      </c>
      <c r="F17" s="336"/>
    </row>
    <row r="18" spans="1:6" s="335" customFormat="1" ht="9.75" customHeight="1">
      <c r="A18" s="334"/>
      <c r="F18" s="336"/>
    </row>
    <row r="19" spans="2:6" s="335" customFormat="1" ht="23.25">
      <c r="B19" s="334" t="s">
        <v>1596</v>
      </c>
      <c r="F19" s="336"/>
    </row>
    <row r="20" spans="1:6" s="335" customFormat="1" ht="6.75" customHeight="1">
      <c r="A20" s="334"/>
      <c r="F20" s="336"/>
    </row>
    <row r="21" spans="1:14" s="335" customFormat="1" ht="20.25" customHeight="1">
      <c r="A21" s="334"/>
      <c r="F21" s="336"/>
      <c r="K21" s="346" t="s">
        <v>410</v>
      </c>
      <c r="N21" s="334"/>
    </row>
    <row r="22" spans="1:14" s="335" customFormat="1" ht="23.25">
      <c r="A22" s="334"/>
      <c r="E22" s="339" t="s">
        <v>411</v>
      </c>
      <c r="F22" s="336"/>
      <c r="G22" s="339" t="s">
        <v>412</v>
      </c>
      <c r="H22" s="336"/>
      <c r="I22" s="339" t="s">
        <v>413</v>
      </c>
      <c r="J22" s="336"/>
      <c r="K22" s="339" t="s">
        <v>212</v>
      </c>
      <c r="N22" s="334"/>
    </row>
    <row r="23" spans="1:14" s="335" customFormat="1" ht="23.25">
      <c r="A23" s="334" t="s">
        <v>1595</v>
      </c>
      <c r="F23" s="336"/>
      <c r="N23" s="334"/>
    </row>
    <row r="24" spans="1:14" s="335" customFormat="1" ht="23.25">
      <c r="A24" s="334" t="s">
        <v>414</v>
      </c>
      <c r="F24" s="336"/>
      <c r="N24" s="334"/>
    </row>
    <row r="25" spans="1:14" s="335" customFormat="1" ht="23.25">
      <c r="A25" s="334"/>
      <c r="B25" s="334" t="s">
        <v>415</v>
      </c>
      <c r="E25" s="368">
        <v>2391588012.5</v>
      </c>
      <c r="F25" s="1096"/>
      <c r="G25" s="368">
        <v>0</v>
      </c>
      <c r="H25" s="1097"/>
      <c r="I25" s="368">
        <v>0</v>
      </c>
      <c r="J25" s="340"/>
      <c r="K25" s="340">
        <f>SUM(E25:J25)</f>
        <v>2391588012.5</v>
      </c>
      <c r="N25" s="334"/>
    </row>
    <row r="26" spans="1:14" s="335" customFormat="1" ht="23.25">
      <c r="A26" s="334"/>
      <c r="B26" s="334" t="s">
        <v>416</v>
      </c>
      <c r="E26" s="368">
        <v>126709873.80000001</v>
      </c>
      <c r="F26" s="1097"/>
      <c r="G26" s="368">
        <v>0</v>
      </c>
      <c r="H26" s="1097"/>
      <c r="I26" s="368">
        <v>0</v>
      </c>
      <c r="J26" s="340"/>
      <c r="K26" s="340">
        <f>SUM(E26:J26)</f>
        <v>126709873.80000001</v>
      </c>
      <c r="N26" s="334"/>
    </row>
    <row r="27" spans="1:14" s="335" customFormat="1" ht="6.75" customHeight="1">
      <c r="A27" s="334"/>
      <c r="F27" s="336"/>
      <c r="N27" s="334"/>
    </row>
    <row r="28" spans="1:6" s="335" customFormat="1" ht="23.25">
      <c r="A28" s="334"/>
      <c r="B28" s="335" t="s">
        <v>801</v>
      </c>
      <c r="F28" s="336"/>
    </row>
    <row r="29" spans="1:6" s="335" customFormat="1" ht="6" customHeight="1">
      <c r="A29" s="334"/>
      <c r="F29" s="336"/>
    </row>
    <row r="30" s="1" customFormat="1" ht="23.25">
      <c r="A30" s="5" t="s">
        <v>1793</v>
      </c>
    </row>
    <row r="31" spans="1:3" s="259" customFormat="1" ht="23.25" customHeight="1">
      <c r="A31" s="1"/>
      <c r="B31" s="1" t="s">
        <v>1820</v>
      </c>
      <c r="C31" s="1"/>
    </row>
    <row r="32" spans="1:3" s="259" customFormat="1" ht="23.25" customHeight="1">
      <c r="A32" s="1" t="s">
        <v>1863</v>
      </c>
      <c r="B32" s="1"/>
      <c r="C32" s="1"/>
    </row>
    <row r="33" spans="1:3" s="259" customFormat="1" ht="23.25" customHeight="1">
      <c r="A33" s="1" t="s">
        <v>1864</v>
      </c>
      <c r="B33" s="1"/>
      <c r="C33" s="1"/>
    </row>
    <row r="34" ht="6" customHeight="1"/>
    <row r="35" s="1" customFormat="1" ht="23.25">
      <c r="A35" s="5" t="s">
        <v>1794</v>
      </c>
    </row>
    <row r="36" s="259" customFormat="1" ht="23.25">
      <c r="B36" s="259" t="s">
        <v>1865</v>
      </c>
    </row>
    <row r="37" spans="3:11" s="259" customFormat="1" ht="23.25">
      <c r="C37" s="467"/>
      <c r="D37" s="467"/>
      <c r="E37" s="467"/>
      <c r="F37" s="467"/>
      <c r="G37" s="467"/>
      <c r="H37" s="1130"/>
      <c r="I37" s="467"/>
      <c r="J37" s="467"/>
      <c r="K37" s="1131" t="s">
        <v>410</v>
      </c>
    </row>
    <row r="38" spans="3:11" s="259" customFormat="1" ht="23.25">
      <c r="C38" s="467"/>
      <c r="D38" s="467"/>
      <c r="E38" s="467"/>
      <c r="F38" s="467"/>
      <c r="G38" s="1130"/>
      <c r="H38" s="1130"/>
      <c r="I38" s="1130" t="s">
        <v>370</v>
      </c>
      <c r="J38" s="1130"/>
      <c r="K38" s="1130"/>
    </row>
    <row r="39" spans="3:11" s="259" customFormat="1" ht="23.25">
      <c r="C39" s="467"/>
      <c r="D39" s="467"/>
      <c r="E39" s="467"/>
      <c r="F39" s="467"/>
      <c r="G39" s="1132"/>
      <c r="H39" s="1132"/>
      <c r="I39" s="1133" t="s">
        <v>1824</v>
      </c>
      <c r="J39" s="1132"/>
      <c r="K39" s="1132"/>
    </row>
    <row r="40" spans="3:11" s="259" customFormat="1" ht="23.25">
      <c r="C40" s="467"/>
      <c r="D40" s="467"/>
      <c r="E40" s="467"/>
      <c r="F40" s="467"/>
      <c r="G40" s="1134" t="s">
        <v>1825</v>
      </c>
      <c r="H40" s="1135"/>
      <c r="I40" s="1134" t="s">
        <v>1826</v>
      </c>
      <c r="J40" s="1135"/>
      <c r="K40" s="1134" t="s">
        <v>1827</v>
      </c>
    </row>
    <row r="41" spans="1:11" s="259" customFormat="1" ht="23.25">
      <c r="A41" s="1136" t="s">
        <v>1828</v>
      </c>
      <c r="B41" s="1137"/>
      <c r="C41" s="467"/>
      <c r="D41" s="467"/>
      <c r="E41" s="467"/>
      <c r="F41" s="467"/>
      <c r="G41" s="1138"/>
      <c r="H41" s="1138"/>
      <c r="I41" s="1138"/>
      <c r="J41" s="1138"/>
      <c r="K41" s="1138"/>
    </row>
    <row r="42" spans="1:11" ht="23.25">
      <c r="A42" s="1136"/>
      <c r="B42" s="1137" t="s">
        <v>1867</v>
      </c>
      <c r="C42" s="467"/>
      <c r="D42" s="467"/>
      <c r="E42" s="467"/>
      <c r="F42" s="467"/>
      <c r="G42" s="1139">
        <v>15027767484.41</v>
      </c>
      <c r="H42" s="1138"/>
      <c r="I42" s="1139">
        <v>110711845.04000092</v>
      </c>
      <c r="J42" s="1139"/>
      <c r="K42" s="1139">
        <f>G42+I42</f>
        <v>15138479329.45</v>
      </c>
    </row>
    <row r="43" spans="1:11" s="259" customFormat="1" ht="23.25">
      <c r="A43" s="1136"/>
      <c r="B43" s="1137" t="s">
        <v>1829</v>
      </c>
      <c r="C43" s="467"/>
      <c r="D43" s="467"/>
      <c r="E43" s="467"/>
      <c r="F43" s="467"/>
      <c r="G43" s="1139">
        <v>16682579339.57</v>
      </c>
      <c r="H43" s="1138"/>
      <c r="I43" s="1139">
        <v>111692051.34</v>
      </c>
      <c r="J43" s="1139"/>
      <c r="K43" s="1139">
        <f>G43+I43</f>
        <v>16794271390.91</v>
      </c>
    </row>
    <row r="44" spans="1:11" s="259" customFormat="1" ht="23.25">
      <c r="A44" s="1136"/>
      <c r="B44" s="1137" t="s">
        <v>1868</v>
      </c>
      <c r="C44" s="1140"/>
      <c r="D44" s="467"/>
      <c r="E44" s="467"/>
      <c r="F44" s="467"/>
      <c r="G44" s="1139">
        <v>3793453634.31</v>
      </c>
      <c r="H44" s="1138"/>
      <c r="I44" s="1139">
        <v>-980206.3</v>
      </c>
      <c r="J44" s="1139"/>
      <c r="K44" s="1139">
        <f>G44+I44</f>
        <v>3792473428.0099998</v>
      </c>
    </row>
    <row r="45" s="259" customFormat="1" ht="23.25"/>
    <row r="46" spans="1:12" s="1" customFormat="1" ht="27" customHeight="1">
      <c r="A46" s="341" t="s">
        <v>417</v>
      </c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</row>
    <row r="47" spans="1:12" ht="23.25">
      <c r="A47" s="1160" t="s">
        <v>1871</v>
      </c>
      <c r="B47" s="1160"/>
      <c r="C47" s="1160"/>
      <c r="D47" s="1160"/>
      <c r="E47" s="1160"/>
      <c r="F47" s="1160"/>
      <c r="G47" s="1160"/>
      <c r="H47" s="1160"/>
      <c r="I47" s="1160"/>
      <c r="J47" s="1160"/>
      <c r="K47" s="1160"/>
      <c r="L47" s="338"/>
    </row>
    <row r="48" spans="1:12" ht="15.75" customHeight="1">
      <c r="A48" s="337"/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</row>
    <row r="49" spans="3:11" s="259" customFormat="1" ht="23.25">
      <c r="C49" s="1141"/>
      <c r="D49" s="1142"/>
      <c r="E49" s="1142"/>
      <c r="F49" s="1142"/>
      <c r="G49" s="1143"/>
      <c r="H49" s="1144"/>
      <c r="I49" s="1143"/>
      <c r="J49" s="1143"/>
      <c r="K49" s="1143"/>
    </row>
    <row r="50" s="1" customFormat="1" ht="23.25">
      <c r="A50" s="5" t="s">
        <v>1872</v>
      </c>
    </row>
    <row r="51" s="1" customFormat="1" ht="23.25">
      <c r="A51" s="5"/>
    </row>
    <row r="52" spans="3:11" s="259" customFormat="1" ht="23.25">
      <c r="C52" s="467"/>
      <c r="D52" s="467"/>
      <c r="E52" s="467"/>
      <c r="F52" s="467"/>
      <c r="G52" s="467"/>
      <c r="H52" s="1130"/>
      <c r="I52" s="467"/>
      <c r="J52" s="467"/>
      <c r="K52" s="1131" t="s">
        <v>410</v>
      </c>
    </row>
    <row r="53" spans="3:11" s="259" customFormat="1" ht="23.25">
      <c r="C53" s="467"/>
      <c r="D53" s="467"/>
      <c r="E53" s="467"/>
      <c r="F53" s="467"/>
      <c r="G53" s="1130"/>
      <c r="H53" s="1130"/>
      <c r="I53" s="1130" t="s">
        <v>370</v>
      </c>
      <c r="J53" s="1130"/>
      <c r="K53" s="1130"/>
    </row>
    <row r="54" spans="3:11" s="259" customFormat="1" ht="23.25">
      <c r="C54" s="467"/>
      <c r="D54" s="467"/>
      <c r="E54" s="467"/>
      <c r="F54" s="467"/>
      <c r="G54" s="1132"/>
      <c r="H54" s="1132"/>
      <c r="I54" s="1133" t="s">
        <v>1824</v>
      </c>
      <c r="J54" s="1132"/>
      <c r="K54" s="1132"/>
    </row>
    <row r="55" spans="3:11" s="259" customFormat="1" ht="23.25">
      <c r="C55" s="467"/>
      <c r="D55" s="467"/>
      <c r="E55" s="467"/>
      <c r="F55" s="467"/>
      <c r="G55" s="1134" t="s">
        <v>1825</v>
      </c>
      <c r="H55" s="1135"/>
      <c r="I55" s="1134" t="s">
        <v>1826</v>
      </c>
      <c r="J55" s="1135"/>
      <c r="K55" s="1134" t="s">
        <v>1827</v>
      </c>
    </row>
    <row r="56" spans="1:11" s="259" customFormat="1" ht="23.25">
      <c r="A56" s="1145" t="s">
        <v>431</v>
      </c>
      <c r="B56" s="1146"/>
      <c r="C56" s="1141"/>
      <c r="D56" s="1142"/>
      <c r="E56" s="1142"/>
      <c r="F56" s="1142"/>
      <c r="G56" s="1143"/>
      <c r="H56" s="1144"/>
      <c r="I56" s="1143"/>
      <c r="J56" s="1143"/>
      <c r="K56" s="1143"/>
    </row>
    <row r="57" spans="1:11" s="259" customFormat="1" ht="23.25">
      <c r="A57" s="1145"/>
      <c r="B57" s="1146" t="s">
        <v>1869</v>
      </c>
      <c r="C57" s="1146"/>
      <c r="D57" s="1146"/>
      <c r="E57" s="1142"/>
      <c r="F57" s="1142"/>
      <c r="G57" s="1143">
        <v>1682271350.2200003</v>
      </c>
      <c r="H57" s="1144"/>
      <c r="I57" s="1143">
        <f>17861509.69-2476992.37</f>
        <v>15384517.32</v>
      </c>
      <c r="J57" s="1143"/>
      <c r="K57" s="1143">
        <f>G57+I57</f>
        <v>1697655867.5400002</v>
      </c>
    </row>
    <row r="58" spans="2:11" s="259" customFormat="1" ht="23.25">
      <c r="B58" s="1146" t="s">
        <v>1866</v>
      </c>
      <c r="C58" s="1147"/>
      <c r="D58" s="1147"/>
      <c r="E58" s="1142"/>
      <c r="F58" s="1142"/>
      <c r="G58" s="1143">
        <v>501088354.36</v>
      </c>
      <c r="H58" s="1144"/>
      <c r="I58" s="1143">
        <f>-1420597.1-456866.8</f>
        <v>-1877463.9000000001</v>
      </c>
      <c r="J58" s="1143"/>
      <c r="K58" s="1143">
        <f>G58+I58</f>
        <v>499210890.46000004</v>
      </c>
    </row>
    <row r="59" spans="2:11" s="259" customFormat="1" ht="23.25">
      <c r="B59" s="1146"/>
      <c r="C59" s="1146"/>
      <c r="D59" s="1146"/>
      <c r="E59" s="1142"/>
      <c r="F59" s="1142"/>
      <c r="G59" s="1143"/>
      <c r="H59" s="1144"/>
      <c r="I59" s="1143"/>
      <c r="J59" s="1143"/>
      <c r="K59" s="1143"/>
    </row>
    <row r="60" spans="3:11" s="259" customFormat="1" ht="23.25" customHeight="1">
      <c r="C60" s="1142"/>
      <c r="D60" s="1142"/>
      <c r="E60" s="1142"/>
      <c r="F60" s="1142"/>
      <c r="G60" s="1142"/>
      <c r="H60" s="1148"/>
      <c r="I60" s="1142"/>
      <c r="J60" s="1142"/>
      <c r="K60" s="1149" t="s">
        <v>410</v>
      </c>
    </row>
    <row r="61" spans="3:11" s="259" customFormat="1" ht="23.25" customHeight="1">
      <c r="C61" s="1142"/>
      <c r="D61" s="1142"/>
      <c r="E61" s="1142"/>
      <c r="F61" s="1142"/>
      <c r="G61" s="1148"/>
      <c r="H61" s="1148"/>
      <c r="I61" s="1148" t="s">
        <v>370</v>
      </c>
      <c r="J61" s="1148"/>
      <c r="K61" s="1148"/>
    </row>
    <row r="62" spans="3:11" s="259" customFormat="1" ht="23.25" customHeight="1">
      <c r="C62" s="1142"/>
      <c r="D62" s="1142"/>
      <c r="E62" s="1142"/>
      <c r="F62" s="1142"/>
      <c r="G62" s="1150"/>
      <c r="H62" s="1150"/>
      <c r="I62" s="1151" t="s">
        <v>1870</v>
      </c>
      <c r="J62" s="1150"/>
      <c r="K62" s="1150"/>
    </row>
    <row r="63" spans="3:11" s="259" customFormat="1" ht="23.25" customHeight="1">
      <c r="C63" s="1142"/>
      <c r="D63" s="1142"/>
      <c r="E63" s="1142"/>
      <c r="F63" s="1142"/>
      <c r="G63" s="1152" t="s">
        <v>1825</v>
      </c>
      <c r="H63" s="389"/>
      <c r="I63" s="1152" t="s">
        <v>1826</v>
      </c>
      <c r="J63" s="389"/>
      <c r="K63" s="1152" t="s">
        <v>1827</v>
      </c>
    </row>
    <row r="64" spans="1:11" s="259" customFormat="1" ht="23.25">
      <c r="A64" s="1145" t="s">
        <v>1828</v>
      </c>
      <c r="B64" s="1146"/>
      <c r="C64" s="1142"/>
      <c r="D64" s="1142"/>
      <c r="E64" s="1142"/>
      <c r="F64" s="1142"/>
      <c r="G64" s="1144"/>
      <c r="H64" s="1144"/>
      <c r="I64" s="1144"/>
      <c r="J64" s="1144"/>
      <c r="K64" s="1144"/>
    </row>
    <row r="65" spans="1:11" ht="23.25">
      <c r="A65" s="1145"/>
      <c r="B65" s="1146" t="s">
        <v>1867</v>
      </c>
      <c r="C65" s="1142"/>
      <c r="D65" s="1142"/>
      <c r="E65" s="1142"/>
      <c r="F65" s="1142"/>
      <c r="G65" s="1143">
        <v>13638773794.45</v>
      </c>
      <c r="H65" s="1144"/>
      <c r="I65" s="1143">
        <v>97204791.62</v>
      </c>
      <c r="J65" s="1143"/>
      <c r="K65" s="1143">
        <f>G65+I65</f>
        <v>13735978586.070002</v>
      </c>
    </row>
    <row r="66" spans="1:11" s="259" customFormat="1" ht="23.25">
      <c r="A66" s="1145"/>
      <c r="B66" s="1146" t="s">
        <v>1829</v>
      </c>
      <c r="C66" s="1142"/>
      <c r="D66" s="1142"/>
      <c r="E66" s="1142"/>
      <c r="F66" s="1142"/>
      <c r="G66" s="1143">
        <v>15177778024.67</v>
      </c>
      <c r="H66" s="1144"/>
      <c r="I66" s="1143">
        <v>96764400.82</v>
      </c>
      <c r="J66" s="1143"/>
      <c r="K66" s="1143">
        <f>G66+I66</f>
        <v>15274542425.49</v>
      </c>
    </row>
    <row r="67" spans="1:11" s="259" customFormat="1" ht="23.25">
      <c r="A67" s="1145"/>
      <c r="B67" s="1146" t="s">
        <v>1868</v>
      </c>
      <c r="C67" s="1141"/>
      <c r="D67" s="1142"/>
      <c r="E67" s="1142"/>
      <c r="F67" s="1142"/>
      <c r="G67" s="1143">
        <v>3277926563.63</v>
      </c>
      <c r="H67" s="1144"/>
      <c r="I67" s="1143">
        <v>440390.8</v>
      </c>
      <c r="J67" s="1143"/>
      <c r="K67" s="1143">
        <f>G67+I67</f>
        <v>3278366954.4300003</v>
      </c>
    </row>
    <row r="68" spans="2:11" s="259" customFormat="1" ht="23.25">
      <c r="B68" s="1147"/>
      <c r="C68" s="1147"/>
      <c r="D68" s="1147"/>
      <c r="E68" s="1142"/>
      <c r="F68" s="1142"/>
      <c r="G68" s="1143"/>
      <c r="H68" s="1144"/>
      <c r="I68" s="1143"/>
      <c r="J68" s="1143"/>
      <c r="K68" s="1143"/>
    </row>
    <row r="69" spans="1:2" s="259" customFormat="1" ht="26.25" customHeight="1">
      <c r="A69" s="260" t="s">
        <v>1795</v>
      </c>
      <c r="B69" s="425"/>
    </row>
    <row r="70" s="259" customFormat="1" ht="26.25" customHeight="1">
      <c r="B70" s="259" t="s">
        <v>1819</v>
      </c>
    </row>
    <row r="71" s="259" customFormat="1" ht="26.25" customHeight="1"/>
    <row r="72" s="259" customFormat="1" ht="23.25"/>
    <row r="73" spans="1:12" s="1" customFormat="1" ht="27" customHeight="1">
      <c r="A73" s="341" t="s">
        <v>417</v>
      </c>
      <c r="B73" s="341"/>
      <c r="C73" s="341"/>
      <c r="D73" s="341"/>
      <c r="E73" s="341"/>
      <c r="F73" s="341"/>
      <c r="G73" s="341"/>
      <c r="H73" s="341"/>
      <c r="I73" s="341"/>
      <c r="J73" s="341"/>
      <c r="K73" s="341"/>
      <c r="L73" s="341"/>
    </row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</sheetData>
  <sheetProtection/>
  <mergeCells count="2">
    <mergeCell ref="A1:K1"/>
    <mergeCell ref="A47:K47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scale="83" r:id="rId1"/>
  <rowBreaks count="1" manualBreakCount="1">
    <brk id="4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77"/>
  <sheetViews>
    <sheetView zoomScaleSheetLayoutView="100" workbookViewId="0" topLeftCell="A1">
      <selection activeCell="A5" sqref="A5"/>
    </sheetView>
  </sheetViews>
  <sheetFormatPr defaultColWidth="9.140625" defaultRowHeight="27.75" customHeight="1"/>
  <cols>
    <col min="1" max="1" width="5.421875" style="497" customWidth="1"/>
    <col min="2" max="2" width="9.8515625" style="497" customWidth="1"/>
    <col min="3" max="3" width="15.28125" style="497" customWidth="1"/>
    <col min="4" max="4" width="15.7109375" style="497" customWidth="1"/>
    <col min="5" max="5" width="1.1484375" style="497" customWidth="1"/>
    <col min="6" max="6" width="15.140625" style="497" bestFit="1" customWidth="1"/>
    <col min="7" max="7" width="0.9921875" style="497" customWidth="1"/>
    <col min="8" max="8" width="17.8515625" style="497" customWidth="1"/>
    <col min="9" max="9" width="0.9921875" style="497" customWidth="1"/>
    <col min="10" max="10" width="17.8515625" style="497" customWidth="1"/>
    <col min="11" max="11" width="0.9921875" style="497" customWidth="1"/>
    <col min="12" max="12" width="15.8515625" style="497" customWidth="1"/>
    <col min="13" max="13" width="0.85546875" style="497" customWidth="1"/>
    <col min="14" max="16384" width="9.140625" style="497" customWidth="1"/>
  </cols>
  <sheetData>
    <row r="1" spans="1:13" s="521" customFormat="1" ht="27.75" customHeight="1">
      <c r="A1" s="538" t="s">
        <v>807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9"/>
    </row>
    <row r="2" spans="1:13" s="521" customFormat="1" ht="27.75" customHeight="1">
      <c r="A2" s="538"/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9"/>
    </row>
    <row r="3" spans="1:17" s="476" customFormat="1" ht="25.5" customHeight="1">
      <c r="A3" s="540" t="s">
        <v>1182</v>
      </c>
      <c r="B3" s="541"/>
      <c r="C3" s="541"/>
      <c r="D3" s="541"/>
      <c r="E3" s="541"/>
      <c r="F3" s="541"/>
      <c r="G3" s="541"/>
      <c r="O3" s="477"/>
      <c r="P3" s="477"/>
      <c r="Q3" s="477"/>
    </row>
    <row r="4" spans="1:17" s="476" customFormat="1" ht="25.5" customHeight="1">
      <c r="A4" s="542"/>
      <c r="B4" s="542" t="s">
        <v>1183</v>
      </c>
      <c r="C4" s="541"/>
      <c r="D4" s="541"/>
      <c r="E4" s="541"/>
      <c r="F4" s="541"/>
      <c r="G4" s="541"/>
      <c r="O4" s="477"/>
      <c r="P4" s="477"/>
      <c r="Q4" s="477"/>
    </row>
    <row r="5" spans="1:17" s="476" customFormat="1" ht="25.5" customHeight="1">
      <c r="A5" s="542"/>
      <c r="B5" s="541"/>
      <c r="C5" s="541"/>
      <c r="D5" s="541"/>
      <c r="E5" s="541"/>
      <c r="H5" s="541"/>
      <c r="I5" s="541"/>
      <c r="L5" s="498" t="s">
        <v>214</v>
      </c>
      <c r="O5" s="477"/>
      <c r="P5" s="477"/>
      <c r="Q5" s="477"/>
    </row>
    <row r="6" spans="1:17" s="476" customFormat="1" ht="25.5" customHeight="1">
      <c r="A6" s="542"/>
      <c r="B6" s="541"/>
      <c r="C6" s="541"/>
      <c r="D6" s="541"/>
      <c r="E6" s="541"/>
      <c r="H6" s="520" t="s">
        <v>1184</v>
      </c>
      <c r="I6" s="520"/>
      <c r="J6" s="520"/>
      <c r="K6" s="543"/>
      <c r="L6" s="544"/>
      <c r="O6" s="477"/>
      <c r="P6" s="477"/>
      <c r="Q6" s="477"/>
    </row>
    <row r="7" spans="1:17" s="476" customFormat="1" ht="25.5" customHeight="1">
      <c r="A7" s="545"/>
      <c r="E7" s="541"/>
      <c r="H7" s="546" t="s">
        <v>1185</v>
      </c>
      <c r="I7" s="547"/>
      <c r="J7" s="548" t="s">
        <v>1186</v>
      </c>
      <c r="K7" s="548"/>
      <c r="L7" s="548"/>
      <c r="O7" s="477"/>
      <c r="P7" s="477"/>
      <c r="Q7" s="477"/>
    </row>
    <row r="8" spans="1:17" s="476" customFormat="1" ht="25.5" customHeight="1">
      <c r="A8" s="545"/>
      <c r="E8" s="541"/>
      <c r="H8" s="549"/>
      <c r="I8" s="540"/>
      <c r="J8" s="550" t="s">
        <v>1187</v>
      </c>
      <c r="K8" s="540"/>
      <c r="L8" s="550" t="s">
        <v>1188</v>
      </c>
      <c r="O8" s="477"/>
      <c r="P8" s="477"/>
      <c r="Q8" s="477"/>
    </row>
    <row r="9" spans="2:17" s="476" customFormat="1" ht="25.5" customHeight="1">
      <c r="B9" s="542" t="s">
        <v>1189</v>
      </c>
      <c r="E9" s="542"/>
      <c r="H9" s="551">
        <f>SUM(I9:L9)</f>
        <v>178912550.07999998</v>
      </c>
      <c r="I9" s="551"/>
      <c r="J9" s="551">
        <f>'P15-16'!J29+'P15-16'!J54</f>
        <v>90546255</v>
      </c>
      <c r="K9" s="551"/>
      <c r="L9" s="551">
        <f>'P15-16'!L29+'P15-16'!L54</f>
        <v>88366295.08</v>
      </c>
      <c r="O9" s="477"/>
      <c r="P9" s="477"/>
      <c r="Q9" s="477"/>
    </row>
    <row r="10" spans="2:17" s="476" customFormat="1" ht="25.5" customHeight="1">
      <c r="B10" s="542" t="s">
        <v>1190</v>
      </c>
      <c r="E10" s="542"/>
      <c r="H10" s="552">
        <f>SUM(I10:L10)</f>
        <v>-54875476.46</v>
      </c>
      <c r="I10" s="551"/>
      <c r="J10" s="553">
        <f>'P15-16'!J30+'P15-16'!J55</f>
        <v>-32434121.25</v>
      </c>
      <c r="K10" s="551"/>
      <c r="L10" s="553">
        <f>'P15-16'!L30+'P15-16'!L55</f>
        <v>-22441355.21</v>
      </c>
      <c r="O10" s="477"/>
      <c r="P10" s="477"/>
      <c r="Q10" s="477"/>
    </row>
    <row r="11" spans="2:17" s="476" customFormat="1" ht="25.5" customHeight="1">
      <c r="B11" s="542"/>
      <c r="C11" s="542" t="s">
        <v>1191</v>
      </c>
      <c r="H11" s="551">
        <f>SUM(H9:H10)</f>
        <v>124037073.61999997</v>
      </c>
      <c r="I11" s="551"/>
      <c r="J11" s="551">
        <f>SUM(J9:J10)</f>
        <v>58112133.75</v>
      </c>
      <c r="K11" s="551"/>
      <c r="L11" s="551">
        <f>SUM(L9:L10)</f>
        <v>65924939.87</v>
      </c>
      <c r="O11" s="477"/>
      <c r="P11" s="477"/>
      <c r="Q11" s="477"/>
    </row>
    <row r="12" spans="2:17" s="476" customFormat="1" ht="25.5" customHeight="1">
      <c r="B12" s="542" t="s">
        <v>1192</v>
      </c>
      <c r="E12" s="542"/>
      <c r="H12" s="552">
        <f>SUM(I12:L12)</f>
        <v>-27330693.08</v>
      </c>
      <c r="I12" s="551"/>
      <c r="J12" s="553">
        <f>'P15-16'!J32+'P15-16'!J57</f>
        <v>-10000700</v>
      </c>
      <c r="K12" s="551"/>
      <c r="L12" s="553">
        <f>'P15-16'!L32+'P15-16'!L57</f>
        <v>-17329993.08</v>
      </c>
      <c r="O12" s="477"/>
      <c r="P12" s="477"/>
      <c r="Q12" s="477"/>
    </row>
    <row r="13" spans="2:17" s="476" customFormat="1" ht="25.5" customHeight="1">
      <c r="B13" s="542" t="s">
        <v>1191</v>
      </c>
      <c r="E13" s="542"/>
      <c r="H13" s="551">
        <f>SUM(H11:H12)</f>
        <v>96706380.53999998</v>
      </c>
      <c r="I13" s="551"/>
      <c r="J13" s="551">
        <f>SUM(J11:J12)</f>
        <v>48111433.75</v>
      </c>
      <c r="K13" s="551"/>
      <c r="L13" s="551">
        <f>SUM(L11:L12)</f>
        <v>48594946.79</v>
      </c>
      <c r="O13" s="477"/>
      <c r="P13" s="477"/>
      <c r="Q13" s="477"/>
    </row>
    <row r="14" spans="2:17" s="476" customFormat="1" ht="25.5" customHeight="1">
      <c r="B14" s="542" t="s">
        <v>1193</v>
      </c>
      <c r="E14" s="542"/>
      <c r="H14" s="537">
        <f>SUM(I14:L14)</f>
        <v>-1240370.7367</v>
      </c>
      <c r="I14" s="551"/>
      <c r="J14" s="554">
        <f>'P15-16'!J34+'P15-16'!J59</f>
        <v>-581121.3377</v>
      </c>
      <c r="K14" s="551"/>
      <c r="L14" s="554">
        <f>'P15-16'!L34+'P15-16'!L59</f>
        <v>-659249.399</v>
      </c>
      <c r="O14" s="477"/>
      <c r="P14" s="477"/>
      <c r="Q14" s="477"/>
    </row>
    <row r="15" spans="1:17" s="476" customFormat="1" ht="25.5" customHeight="1" thickBot="1">
      <c r="A15" s="542" t="s">
        <v>621</v>
      </c>
      <c r="C15" s="542" t="s">
        <v>1194</v>
      </c>
      <c r="H15" s="555">
        <f>SUM(H13:H14)</f>
        <v>95466009.80329998</v>
      </c>
      <c r="I15" s="551"/>
      <c r="J15" s="555">
        <f>SUM(J13:J14)</f>
        <v>47530312.4123</v>
      </c>
      <c r="K15" s="551"/>
      <c r="L15" s="555">
        <f>SUM(L13:L14)</f>
        <v>47935697.391</v>
      </c>
      <c r="O15" s="477"/>
      <c r="P15" s="477"/>
      <c r="Q15" s="477"/>
    </row>
    <row r="16" spans="1:11" s="556" customFormat="1" ht="25.5" customHeight="1" thickTop="1">
      <c r="A16" s="540"/>
      <c r="H16" s="521"/>
      <c r="I16" s="521"/>
      <c r="K16" s="557"/>
    </row>
    <row r="17" spans="1:13" s="524" customFormat="1" ht="25.5" customHeight="1">
      <c r="A17" s="523"/>
      <c r="B17" s="497"/>
      <c r="C17" s="141"/>
      <c r="D17" s="141"/>
      <c r="E17" s="142"/>
      <c r="F17" s="141"/>
      <c r="G17" s="142"/>
      <c r="H17" s="497"/>
      <c r="I17" s="497"/>
      <c r="J17" s="558"/>
      <c r="K17" s="558"/>
      <c r="L17" s="559" t="s">
        <v>214</v>
      </c>
      <c r="M17" s="560"/>
    </row>
    <row r="18" spans="1:13" s="524" customFormat="1" ht="25.5" customHeight="1">
      <c r="A18" s="523"/>
      <c r="B18" s="497"/>
      <c r="C18" s="141"/>
      <c r="D18" s="141"/>
      <c r="E18" s="142"/>
      <c r="F18" s="141"/>
      <c r="G18" s="142"/>
      <c r="H18" s="497"/>
      <c r="I18" s="497"/>
      <c r="J18" s="561" t="s">
        <v>1184</v>
      </c>
      <c r="K18" s="561"/>
      <c r="L18" s="562"/>
      <c r="M18" s="560"/>
    </row>
    <row r="19" spans="1:13" s="524" customFormat="1" ht="25.5" customHeight="1">
      <c r="A19" s="523"/>
      <c r="B19" s="497"/>
      <c r="C19" s="141"/>
      <c r="D19" s="141"/>
      <c r="E19" s="142"/>
      <c r="F19" s="141"/>
      <c r="G19" s="142"/>
      <c r="H19" s="497"/>
      <c r="I19" s="497"/>
      <c r="J19" s="511" t="s">
        <v>898</v>
      </c>
      <c r="K19" s="512"/>
      <c r="L19" s="511" t="s">
        <v>747</v>
      </c>
      <c r="M19" s="560"/>
    </row>
    <row r="20" spans="1:13" s="524" customFormat="1" ht="25.5" customHeight="1">
      <c r="A20" s="523"/>
      <c r="B20" s="497" t="s">
        <v>1195</v>
      </c>
      <c r="C20" s="141"/>
      <c r="D20" s="141"/>
      <c r="E20" s="142"/>
      <c r="F20" s="141"/>
      <c r="G20" s="142"/>
      <c r="H20" s="497"/>
      <c r="I20" s="497"/>
      <c r="J20" s="551">
        <v>81905425.04</v>
      </c>
      <c r="K20" s="551"/>
      <c r="L20" s="551">
        <v>0</v>
      </c>
      <c r="M20" s="560"/>
    </row>
    <row r="21" spans="1:13" s="524" customFormat="1" ht="25.5" customHeight="1">
      <c r="A21" s="523"/>
      <c r="B21" s="497" t="s">
        <v>1196</v>
      </c>
      <c r="C21" s="141"/>
      <c r="D21" s="141"/>
      <c r="E21" s="142"/>
      <c r="F21" s="141"/>
      <c r="G21" s="142"/>
      <c r="H21" s="497"/>
      <c r="I21" s="497"/>
      <c r="J21" s="551">
        <v>13560584.76</v>
      </c>
      <c r="K21" s="551"/>
      <c r="L21" s="551">
        <v>0</v>
      </c>
      <c r="M21" s="560"/>
    </row>
    <row r="22" spans="1:13" s="524" customFormat="1" ht="25.5" customHeight="1" thickBot="1">
      <c r="A22" s="523"/>
      <c r="B22" s="497" t="s">
        <v>1197</v>
      </c>
      <c r="C22" s="141"/>
      <c r="D22" s="141"/>
      <c r="E22" s="142"/>
      <c r="F22" s="141"/>
      <c r="G22" s="142"/>
      <c r="H22" s="497"/>
      <c r="I22" s="497"/>
      <c r="J22" s="555">
        <f>SUM(J20:J21)</f>
        <v>95466009.80000001</v>
      </c>
      <c r="K22" s="497"/>
      <c r="L22" s="555">
        <f>SUM(L20:L21)</f>
        <v>0</v>
      </c>
      <c r="M22" s="560"/>
    </row>
    <row r="23" spans="1:13" s="524" customFormat="1" ht="25.5" customHeight="1" thickTop="1">
      <c r="A23" s="523"/>
      <c r="B23" s="497"/>
      <c r="C23" s="141"/>
      <c r="D23" s="141"/>
      <c r="E23" s="142"/>
      <c r="F23" s="141"/>
      <c r="G23" s="142"/>
      <c r="H23" s="497"/>
      <c r="I23" s="497"/>
      <c r="J23" s="497"/>
      <c r="K23" s="497"/>
      <c r="L23" s="560"/>
      <c r="M23" s="560"/>
    </row>
    <row r="24" spans="1:13" s="524" customFormat="1" ht="25.5" customHeight="1">
      <c r="A24" s="523"/>
      <c r="B24" s="497" t="s">
        <v>1896</v>
      </c>
      <c r="C24" s="141"/>
      <c r="D24" s="141"/>
      <c r="E24" s="142"/>
      <c r="F24" s="141"/>
      <c r="G24" s="142"/>
      <c r="H24" s="497"/>
      <c r="I24" s="497"/>
      <c r="J24" s="497"/>
      <c r="K24" s="497"/>
      <c r="L24" s="560"/>
      <c r="M24" s="560"/>
    </row>
    <row r="25" spans="1:17" s="476" customFormat="1" ht="25.5" customHeight="1">
      <c r="A25" s="542"/>
      <c r="B25" s="541"/>
      <c r="C25" s="541"/>
      <c r="D25" s="541"/>
      <c r="E25" s="541"/>
      <c r="H25" s="541"/>
      <c r="I25" s="541"/>
      <c r="L25" s="498" t="s">
        <v>214</v>
      </c>
      <c r="O25" s="477"/>
      <c r="P25" s="477"/>
      <c r="Q25" s="477"/>
    </row>
    <row r="26" spans="1:17" s="476" customFormat="1" ht="25.5" customHeight="1">
      <c r="A26" s="542"/>
      <c r="B26" s="541"/>
      <c r="C26" s="541"/>
      <c r="D26" s="541"/>
      <c r="E26" s="541"/>
      <c r="H26" s="520" t="s">
        <v>1184</v>
      </c>
      <c r="I26" s="520"/>
      <c r="J26" s="520"/>
      <c r="K26" s="543"/>
      <c r="L26" s="544"/>
      <c r="O26" s="477"/>
      <c r="P26" s="477"/>
      <c r="Q26" s="477"/>
    </row>
    <row r="27" spans="1:17" s="476" customFormat="1" ht="25.5" customHeight="1">
      <c r="A27" s="545"/>
      <c r="E27" s="541"/>
      <c r="H27" s="546" t="s">
        <v>1198</v>
      </c>
      <c r="I27" s="547"/>
      <c r="J27" s="548" t="s">
        <v>1186</v>
      </c>
      <c r="K27" s="548"/>
      <c r="L27" s="548"/>
      <c r="O27" s="477"/>
      <c r="P27" s="477"/>
      <c r="Q27" s="477"/>
    </row>
    <row r="28" spans="1:17" s="476" customFormat="1" ht="25.5" customHeight="1">
      <c r="A28" s="542"/>
      <c r="E28" s="542"/>
      <c r="H28" s="549"/>
      <c r="I28" s="540"/>
      <c r="J28" s="550" t="s">
        <v>1187</v>
      </c>
      <c r="K28" s="540"/>
      <c r="L28" s="550" t="s">
        <v>1188</v>
      </c>
      <c r="O28" s="477"/>
      <c r="P28" s="477"/>
      <c r="Q28" s="477"/>
    </row>
    <row r="29" spans="2:17" s="476" customFormat="1" ht="25.5" customHeight="1">
      <c r="B29" s="542" t="s">
        <v>1189</v>
      </c>
      <c r="E29" s="542"/>
      <c r="H29" s="551">
        <f>J29+L29</f>
        <v>134338169.07999998</v>
      </c>
      <c r="I29" s="551"/>
      <c r="J29" s="629">
        <v>65917768</v>
      </c>
      <c r="K29" s="629"/>
      <c r="L29" s="629">
        <v>68420401.08</v>
      </c>
      <c r="O29" s="477"/>
      <c r="P29" s="477"/>
      <c r="Q29" s="477"/>
    </row>
    <row r="30" spans="2:17" s="476" customFormat="1" ht="25.5" customHeight="1">
      <c r="B30" s="542" t="s">
        <v>1190</v>
      </c>
      <c r="E30" s="542"/>
      <c r="H30" s="552">
        <f>J30+L30</f>
        <v>-43416514.41</v>
      </c>
      <c r="I30" s="551"/>
      <c r="J30" s="630">
        <v>-26004758.23</v>
      </c>
      <c r="K30" s="629"/>
      <c r="L30" s="630">
        <v>-17411756.18</v>
      </c>
      <c r="O30" s="477"/>
      <c r="P30" s="477"/>
      <c r="Q30" s="477"/>
    </row>
    <row r="31" spans="2:17" s="476" customFormat="1" ht="25.5" customHeight="1">
      <c r="B31" s="542"/>
      <c r="C31" s="542" t="s">
        <v>1191</v>
      </c>
      <c r="H31" s="551">
        <f>SUM(H29:H30)</f>
        <v>90921654.66999999</v>
      </c>
      <c r="I31" s="551"/>
      <c r="J31" s="551">
        <f>SUM(J29:J30)</f>
        <v>39913009.769999996</v>
      </c>
      <c r="K31" s="551"/>
      <c r="L31" s="551">
        <f>SUM(L29:L30)</f>
        <v>51008644.9</v>
      </c>
      <c r="O31" s="477"/>
      <c r="P31" s="477"/>
      <c r="Q31" s="477"/>
    </row>
    <row r="32" spans="2:17" s="476" customFormat="1" ht="25.5" customHeight="1">
      <c r="B32" s="542" t="s">
        <v>1192</v>
      </c>
      <c r="E32" s="542"/>
      <c r="H32" s="552">
        <f>J32+L32</f>
        <v>-8107013.08</v>
      </c>
      <c r="I32" s="551"/>
      <c r="J32" s="630">
        <v>-920300</v>
      </c>
      <c r="K32" s="629"/>
      <c r="L32" s="630">
        <v>-7186713.08</v>
      </c>
      <c r="O32" s="477"/>
      <c r="P32" s="477"/>
      <c r="Q32" s="477"/>
    </row>
    <row r="33" spans="2:17" s="476" customFormat="1" ht="25.5" customHeight="1">
      <c r="B33" s="542" t="s">
        <v>1191</v>
      </c>
      <c r="E33" s="542"/>
      <c r="H33" s="551">
        <f>SUM(H31:H32)</f>
        <v>82814641.58999999</v>
      </c>
      <c r="I33" s="551"/>
      <c r="J33" s="551">
        <f>SUM(J31:J32)</f>
        <v>38992709.769999996</v>
      </c>
      <c r="K33" s="551"/>
      <c r="L33" s="551">
        <f>SUM(L31:L32)</f>
        <v>43821931.82</v>
      </c>
      <c r="O33" s="477"/>
      <c r="P33" s="477"/>
      <c r="Q33" s="477"/>
    </row>
    <row r="34" spans="2:17" s="476" customFormat="1" ht="25.5" customHeight="1">
      <c r="B34" s="542" t="s">
        <v>1193</v>
      </c>
      <c r="E34" s="542"/>
      <c r="H34" s="537">
        <f>J34+L34</f>
        <v>-909216.5467000001</v>
      </c>
      <c r="I34" s="551"/>
      <c r="J34" s="554">
        <f>-J31*1%</f>
        <v>-399130.0977</v>
      </c>
      <c r="K34" s="551"/>
      <c r="L34" s="554">
        <f>-L31*1%</f>
        <v>-510086.449</v>
      </c>
      <c r="O34" s="477"/>
      <c r="P34" s="477"/>
      <c r="Q34" s="477"/>
    </row>
    <row r="35" spans="1:17" s="476" customFormat="1" ht="25.5" customHeight="1" thickBot="1">
      <c r="A35" s="542" t="s">
        <v>621</v>
      </c>
      <c r="C35" s="542" t="s">
        <v>1194</v>
      </c>
      <c r="H35" s="555">
        <f>SUM(H33:H34)</f>
        <v>81905425.04329999</v>
      </c>
      <c r="I35" s="551"/>
      <c r="J35" s="555">
        <f>SUM(J33:J34)</f>
        <v>38593579.672299996</v>
      </c>
      <c r="K35" s="551"/>
      <c r="L35" s="555">
        <f>SUM(L33:L34)</f>
        <v>43311845.371</v>
      </c>
      <c r="O35" s="477"/>
      <c r="P35" s="477"/>
      <c r="Q35" s="477"/>
    </row>
    <row r="36" spans="1:17" s="476" customFormat="1" ht="30.75" customHeight="1" thickTop="1">
      <c r="A36" s="542"/>
      <c r="C36" s="542"/>
      <c r="H36" s="563"/>
      <c r="I36" s="551"/>
      <c r="J36" s="563"/>
      <c r="K36" s="551"/>
      <c r="L36" s="563"/>
      <c r="O36" s="477"/>
      <c r="P36" s="477"/>
      <c r="Q36" s="477"/>
    </row>
    <row r="37" spans="1:12" s="531" customFormat="1" ht="25.5" customHeight="1">
      <c r="A37" s="138" t="s">
        <v>1179</v>
      </c>
      <c r="B37" s="529"/>
      <c r="C37" s="529"/>
      <c r="D37" s="529"/>
      <c r="E37" s="529"/>
      <c r="F37" s="495"/>
      <c r="G37" s="529"/>
      <c r="H37" s="530"/>
      <c r="I37" s="529"/>
      <c r="J37" s="529"/>
      <c r="K37" s="529"/>
      <c r="L37" s="529"/>
    </row>
    <row r="38" spans="1:13" s="521" customFormat="1" ht="27.75" customHeight="1">
      <c r="A38" s="538" t="s">
        <v>850</v>
      </c>
      <c r="B38" s="538"/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539"/>
    </row>
    <row r="39" spans="1:12" s="521" customFormat="1" ht="27.75" customHeight="1">
      <c r="A39" s="564"/>
      <c r="B39" s="564"/>
      <c r="C39" s="565"/>
      <c r="D39" s="565"/>
      <c r="E39" s="566"/>
      <c r="F39" s="565"/>
      <c r="G39" s="566"/>
      <c r="J39" s="146"/>
      <c r="K39" s="146"/>
      <c r="L39" s="146"/>
    </row>
    <row r="40" spans="1:11" s="556" customFormat="1" ht="27.75" customHeight="1">
      <c r="A40" s="540" t="s">
        <v>1199</v>
      </c>
      <c r="H40" s="521"/>
      <c r="I40" s="521"/>
      <c r="K40" s="557"/>
    </row>
    <row r="41" spans="1:13" s="524" customFormat="1" ht="29.25" customHeight="1">
      <c r="A41" s="523"/>
      <c r="B41" s="497" t="s">
        <v>1897</v>
      </c>
      <c r="C41" s="141"/>
      <c r="D41" s="141"/>
      <c r="E41" s="142"/>
      <c r="F41" s="141"/>
      <c r="G41" s="142"/>
      <c r="H41" s="497"/>
      <c r="I41" s="497"/>
      <c r="J41" s="497"/>
      <c r="K41" s="497"/>
      <c r="L41" s="560"/>
      <c r="M41" s="560"/>
    </row>
    <row r="42" spans="1:12" s="556" customFormat="1" ht="29.25" customHeight="1">
      <c r="A42" s="567"/>
      <c r="C42" s="568"/>
      <c r="D42" s="568"/>
      <c r="E42" s="568"/>
      <c r="F42" s="568"/>
      <c r="G42" s="568"/>
      <c r="H42" s="569"/>
      <c r="I42" s="569"/>
      <c r="J42" s="568"/>
      <c r="K42" s="568"/>
      <c r="L42" s="570" t="s">
        <v>214</v>
      </c>
    </row>
    <row r="43" spans="1:12" s="556" customFormat="1" ht="29.25" customHeight="1">
      <c r="A43" s="567"/>
      <c r="C43" s="571" t="s">
        <v>1200</v>
      </c>
      <c r="D43" s="568"/>
      <c r="E43" s="568"/>
      <c r="F43" s="571" t="s">
        <v>1201</v>
      </c>
      <c r="G43" s="572"/>
      <c r="H43" s="573" t="s">
        <v>1202</v>
      </c>
      <c r="I43" s="572"/>
      <c r="J43" s="571" t="s">
        <v>1203</v>
      </c>
      <c r="K43" s="572"/>
      <c r="L43" s="571" t="s">
        <v>1204</v>
      </c>
    </row>
    <row r="44" spans="1:12" s="556" customFormat="1" ht="29.25" customHeight="1">
      <c r="A44" s="567"/>
      <c r="C44" s="571"/>
      <c r="D44" s="568"/>
      <c r="E44" s="568"/>
      <c r="F44" s="571" t="s">
        <v>1205</v>
      </c>
      <c r="G44" s="572"/>
      <c r="H44" s="573" t="s">
        <v>1206</v>
      </c>
      <c r="I44" s="572"/>
      <c r="J44" s="571" t="s">
        <v>1204</v>
      </c>
      <c r="K44" s="572"/>
      <c r="L44" s="571" t="s">
        <v>1207</v>
      </c>
    </row>
    <row r="45" spans="1:12" s="556" customFormat="1" ht="29.25" customHeight="1">
      <c r="A45" s="567"/>
      <c r="C45" s="574"/>
      <c r="D45" s="575"/>
      <c r="E45" s="568"/>
      <c r="F45" s="576"/>
      <c r="G45" s="571"/>
      <c r="H45" s="577" t="s">
        <v>1208</v>
      </c>
      <c r="I45" s="572"/>
      <c r="J45" s="576" t="s">
        <v>1207</v>
      </c>
      <c r="K45" s="572"/>
      <c r="L45" s="574"/>
    </row>
    <row r="46" spans="1:12" s="521" customFormat="1" ht="29.25" customHeight="1">
      <c r="A46" s="578"/>
      <c r="B46" s="579"/>
      <c r="C46" s="580" t="s">
        <v>919</v>
      </c>
      <c r="D46" s="581"/>
      <c r="F46" s="631">
        <v>167</v>
      </c>
      <c r="G46" s="632"/>
      <c r="H46" s="633">
        <v>90921654.67</v>
      </c>
      <c r="I46" s="580"/>
      <c r="J46" s="584">
        <v>0.01</v>
      </c>
      <c r="K46" s="580"/>
      <c r="L46" s="585">
        <f>H46*J46</f>
        <v>909216.5467000001</v>
      </c>
    </row>
    <row r="47" spans="1:12" ht="29.25" customHeight="1" thickBot="1">
      <c r="A47" s="525"/>
      <c r="B47" s="524"/>
      <c r="C47" s="580" t="s">
        <v>212</v>
      </c>
      <c r="D47" s="526"/>
      <c r="F47" s="586">
        <f>SUM(F46:F46)</f>
        <v>167</v>
      </c>
      <c r="G47" s="542"/>
      <c r="H47" s="555">
        <f>SUM(H46:H46)</f>
        <v>90921654.67</v>
      </c>
      <c r="I47" s="580"/>
      <c r="J47" s="584"/>
      <c r="K47" s="580"/>
      <c r="L47" s="587">
        <f>SUM(L46:L46)</f>
        <v>909216.5467000001</v>
      </c>
    </row>
    <row r="48" spans="1:12" ht="29.25" customHeight="1" thickTop="1">
      <c r="A48" s="525"/>
      <c r="B48" s="524"/>
      <c r="C48" s="580"/>
      <c r="D48" s="526"/>
      <c r="F48" s="582"/>
      <c r="G48" s="542"/>
      <c r="H48" s="583"/>
      <c r="I48" s="580"/>
      <c r="J48" s="584"/>
      <c r="K48" s="580"/>
      <c r="L48" s="588"/>
    </row>
    <row r="49" spans="1:17" s="476" customFormat="1" ht="24">
      <c r="A49" s="542"/>
      <c r="B49" s="497" t="s">
        <v>1898</v>
      </c>
      <c r="C49" s="541"/>
      <c r="D49" s="541"/>
      <c r="E49" s="541"/>
      <c r="F49" s="541"/>
      <c r="G49" s="541"/>
      <c r="O49" s="477"/>
      <c r="P49" s="477"/>
      <c r="Q49" s="477"/>
    </row>
    <row r="50" spans="1:17" s="476" customFormat="1" ht="29.25" customHeight="1">
      <c r="A50" s="542"/>
      <c r="B50" s="541"/>
      <c r="C50" s="541"/>
      <c r="D50" s="541"/>
      <c r="E50" s="541"/>
      <c r="H50" s="541"/>
      <c r="I50" s="541"/>
      <c r="L50" s="498" t="s">
        <v>214</v>
      </c>
      <c r="O50" s="477"/>
      <c r="P50" s="477"/>
      <c r="Q50" s="477"/>
    </row>
    <row r="51" spans="1:17" s="476" customFormat="1" ht="29.25" customHeight="1">
      <c r="A51" s="542"/>
      <c r="B51" s="541"/>
      <c r="C51" s="541"/>
      <c r="D51" s="541"/>
      <c r="E51" s="541"/>
      <c r="H51" s="520" t="s">
        <v>1184</v>
      </c>
      <c r="I51" s="520"/>
      <c r="J51" s="520"/>
      <c r="K51" s="543"/>
      <c r="L51" s="544"/>
      <c r="O51" s="477"/>
      <c r="P51" s="477"/>
      <c r="Q51" s="477"/>
    </row>
    <row r="52" spans="1:12" s="521" customFormat="1" ht="29.25" customHeight="1">
      <c r="A52" s="542"/>
      <c r="B52" s="541"/>
      <c r="C52" s="541"/>
      <c r="D52" s="541"/>
      <c r="E52" s="541"/>
      <c r="F52" s="476"/>
      <c r="G52" s="476"/>
      <c r="H52" s="546" t="s">
        <v>1209</v>
      </c>
      <c r="I52" s="547"/>
      <c r="J52" s="548" t="s">
        <v>1186</v>
      </c>
      <c r="K52" s="548"/>
      <c r="L52" s="548"/>
    </row>
    <row r="53" spans="1:12" s="521" customFormat="1" ht="29.25" customHeight="1">
      <c r="A53" s="545"/>
      <c r="B53" s="476"/>
      <c r="C53" s="476"/>
      <c r="D53" s="476"/>
      <c r="E53" s="541"/>
      <c r="H53" s="549"/>
      <c r="I53" s="540"/>
      <c r="J53" s="550" t="s">
        <v>1187</v>
      </c>
      <c r="K53" s="540"/>
      <c r="L53" s="550" t="s">
        <v>1188</v>
      </c>
    </row>
    <row r="54" spans="1:12" s="521" customFormat="1" ht="29.25" customHeight="1">
      <c r="A54" s="542"/>
      <c r="B54" s="476" t="s">
        <v>1189</v>
      </c>
      <c r="C54" s="476"/>
      <c r="E54" s="542"/>
      <c r="H54" s="551">
        <f>J54+L54</f>
        <v>44574381</v>
      </c>
      <c r="I54" s="551"/>
      <c r="J54" s="629">
        <v>24628487</v>
      </c>
      <c r="K54" s="629"/>
      <c r="L54" s="629">
        <v>19945894</v>
      </c>
    </row>
    <row r="55" spans="1:12" s="521" customFormat="1" ht="29.25" customHeight="1">
      <c r="A55" s="476"/>
      <c r="B55" s="476" t="s">
        <v>1190</v>
      </c>
      <c r="C55" s="476"/>
      <c r="E55" s="542"/>
      <c r="H55" s="552">
        <f>J55+L55</f>
        <v>-11458962.05</v>
      </c>
      <c r="I55" s="551"/>
      <c r="J55" s="630">
        <v>-6429363.02</v>
      </c>
      <c r="K55" s="629"/>
      <c r="L55" s="630">
        <v>-5029599.03</v>
      </c>
    </row>
    <row r="56" spans="1:12" s="521" customFormat="1" ht="29.25" customHeight="1">
      <c r="A56" s="476"/>
      <c r="B56" s="476"/>
      <c r="C56" s="476" t="s">
        <v>1191</v>
      </c>
      <c r="E56" s="542"/>
      <c r="H56" s="551">
        <f>SUM(H54:H55)</f>
        <v>33115418.95</v>
      </c>
      <c r="I56" s="551"/>
      <c r="J56" s="551">
        <f>SUM(J54:J55)</f>
        <v>18199123.98</v>
      </c>
      <c r="K56" s="551"/>
      <c r="L56" s="551">
        <f>SUM(L54:L55)</f>
        <v>14916294.969999999</v>
      </c>
    </row>
    <row r="57" spans="1:12" s="521" customFormat="1" ht="29.25" customHeight="1">
      <c r="A57" s="476"/>
      <c r="B57" s="476" t="s">
        <v>1192</v>
      </c>
      <c r="C57" s="476"/>
      <c r="E57" s="476"/>
      <c r="H57" s="552">
        <f>J57+L57</f>
        <v>-19223680</v>
      </c>
      <c r="I57" s="551"/>
      <c r="J57" s="630">
        <v>-9080400</v>
      </c>
      <c r="K57" s="629"/>
      <c r="L57" s="630">
        <v>-10143280</v>
      </c>
    </row>
    <row r="58" spans="1:12" s="521" customFormat="1" ht="29.25" customHeight="1">
      <c r="A58" s="476"/>
      <c r="B58" s="476" t="s">
        <v>1191</v>
      </c>
      <c r="C58" s="476"/>
      <c r="E58" s="542"/>
      <c r="H58" s="551">
        <f>SUM(H56:H57)</f>
        <v>13891738.95</v>
      </c>
      <c r="I58" s="551"/>
      <c r="J58" s="551">
        <f>SUM(J56:J57)</f>
        <v>9118723.98</v>
      </c>
      <c r="K58" s="551"/>
      <c r="L58" s="551">
        <f>SUM(L56:L57)</f>
        <v>4773014.969999999</v>
      </c>
    </row>
    <row r="59" spans="1:12" s="521" customFormat="1" ht="29.25" customHeight="1">
      <c r="A59" s="476"/>
      <c r="B59" s="476" t="s">
        <v>1193</v>
      </c>
      <c r="C59" s="476"/>
      <c r="E59" s="542"/>
      <c r="H59" s="537">
        <f>J59+L59</f>
        <v>-331154.19</v>
      </c>
      <c r="I59" s="551"/>
      <c r="J59" s="634">
        <v>-181991.24</v>
      </c>
      <c r="K59" s="629"/>
      <c r="L59" s="634">
        <v>-149162.95</v>
      </c>
    </row>
    <row r="60" spans="1:12" s="521" customFormat="1" ht="29.25" customHeight="1" thickBot="1">
      <c r="A60" s="476"/>
      <c r="B60" s="476" t="s">
        <v>621</v>
      </c>
      <c r="C60" s="476" t="s">
        <v>1194</v>
      </c>
      <c r="E60" s="542"/>
      <c r="H60" s="555">
        <f>SUM(H58:H59)</f>
        <v>13560584.76</v>
      </c>
      <c r="I60" s="551"/>
      <c r="J60" s="555">
        <f>SUM(J58:J59)</f>
        <v>8936732.74</v>
      </c>
      <c r="K60" s="551"/>
      <c r="L60" s="555">
        <f>SUM(L58:L59)</f>
        <v>4623852.019999999</v>
      </c>
    </row>
    <row r="61" spans="1:12" s="521" customFormat="1" ht="29.25" customHeight="1" thickTop="1">
      <c r="A61" s="589"/>
      <c r="C61" s="565"/>
      <c r="D61" s="565"/>
      <c r="E61" s="566"/>
      <c r="F61" s="565"/>
      <c r="G61" s="566"/>
      <c r="K61" s="590"/>
      <c r="L61" s="590"/>
    </row>
    <row r="62" spans="1:13" s="524" customFormat="1" ht="29.25" customHeight="1">
      <c r="A62" s="523"/>
      <c r="B62" s="497" t="s">
        <v>1899</v>
      </c>
      <c r="C62" s="141"/>
      <c r="D62" s="141"/>
      <c r="E62" s="142"/>
      <c r="F62" s="141"/>
      <c r="G62" s="142"/>
      <c r="H62" s="497"/>
      <c r="I62" s="497"/>
      <c r="J62" s="497"/>
      <c r="K62" s="497"/>
      <c r="L62" s="560"/>
      <c r="M62" s="560"/>
    </row>
    <row r="63" spans="1:12" s="556" customFormat="1" ht="29.25" customHeight="1">
      <c r="A63" s="567"/>
      <c r="C63" s="568"/>
      <c r="D63" s="568"/>
      <c r="E63" s="568"/>
      <c r="F63" s="568"/>
      <c r="G63" s="568"/>
      <c r="H63" s="569"/>
      <c r="I63" s="569"/>
      <c r="J63" s="568"/>
      <c r="K63" s="568"/>
      <c r="L63" s="570" t="s">
        <v>214</v>
      </c>
    </row>
    <row r="64" spans="1:12" s="556" customFormat="1" ht="29.25" customHeight="1">
      <c r="A64" s="567"/>
      <c r="C64" s="571" t="s">
        <v>1200</v>
      </c>
      <c r="D64" s="568"/>
      <c r="E64" s="568"/>
      <c r="F64" s="571" t="s">
        <v>1201</v>
      </c>
      <c r="G64" s="572"/>
      <c r="H64" s="573" t="s">
        <v>1202</v>
      </c>
      <c r="I64" s="572"/>
      <c r="J64" s="571" t="s">
        <v>1203</v>
      </c>
      <c r="K64" s="572"/>
      <c r="L64" s="571" t="s">
        <v>1204</v>
      </c>
    </row>
    <row r="65" spans="1:12" s="556" customFormat="1" ht="29.25" customHeight="1">
      <c r="A65" s="567"/>
      <c r="C65" s="571"/>
      <c r="D65" s="568"/>
      <c r="E65" s="568"/>
      <c r="F65" s="571" t="s">
        <v>1205</v>
      </c>
      <c r="G65" s="572"/>
      <c r="H65" s="573" t="s">
        <v>1206</v>
      </c>
      <c r="I65" s="572"/>
      <c r="J65" s="571" t="s">
        <v>1204</v>
      </c>
      <c r="K65" s="572"/>
      <c r="L65" s="571" t="s">
        <v>1207</v>
      </c>
    </row>
    <row r="66" spans="1:12" s="556" customFormat="1" ht="29.25" customHeight="1">
      <c r="A66" s="567"/>
      <c r="C66" s="574"/>
      <c r="D66" s="575"/>
      <c r="E66" s="568"/>
      <c r="F66" s="576"/>
      <c r="G66" s="571"/>
      <c r="H66" s="577" t="s">
        <v>1208</v>
      </c>
      <c r="I66" s="572"/>
      <c r="J66" s="576" t="s">
        <v>1207</v>
      </c>
      <c r="K66" s="572"/>
      <c r="L66" s="574"/>
    </row>
    <row r="67" spans="1:12" s="521" customFormat="1" ht="29.25" customHeight="1">
      <c r="A67" s="591"/>
      <c r="C67" s="580" t="s">
        <v>919</v>
      </c>
      <c r="D67" s="592"/>
      <c r="E67" s="580"/>
      <c r="F67" s="631">
        <v>36</v>
      </c>
      <c r="G67" s="632"/>
      <c r="H67" s="635">
        <v>33115418.95</v>
      </c>
      <c r="I67" s="580"/>
      <c r="J67" s="584">
        <v>0.01</v>
      </c>
      <c r="K67" s="580"/>
      <c r="L67" s="585">
        <f>H67*J67</f>
        <v>331154.1895</v>
      </c>
    </row>
    <row r="68" spans="1:12" s="521" customFormat="1" ht="29.25" customHeight="1" thickBot="1">
      <c r="A68" s="593"/>
      <c r="C68" s="580" t="s">
        <v>212</v>
      </c>
      <c r="D68" s="581"/>
      <c r="E68" s="580"/>
      <c r="F68" s="586">
        <f>SUM(F67:F67)</f>
        <v>36</v>
      </c>
      <c r="G68" s="542"/>
      <c r="H68" s="555">
        <f>SUM(H67:H67)</f>
        <v>33115418.95</v>
      </c>
      <c r="I68" s="580"/>
      <c r="J68" s="584"/>
      <c r="K68" s="580"/>
      <c r="L68" s="587">
        <f>SUM(L67:L67)</f>
        <v>331154.1895</v>
      </c>
    </row>
    <row r="69" spans="1:12" s="521" customFormat="1" ht="27.75" customHeight="1" thickTop="1">
      <c r="A69" s="593"/>
      <c r="C69" s="594"/>
      <c r="D69" s="592"/>
      <c r="E69" s="594"/>
      <c r="F69" s="595"/>
      <c r="G69" s="596"/>
      <c r="H69" s="597"/>
      <c r="I69" s="598"/>
      <c r="J69" s="597"/>
      <c r="K69" s="598"/>
      <c r="L69" s="597"/>
    </row>
    <row r="70" spans="1:12" s="521" customFormat="1" ht="16.5" customHeight="1">
      <c r="A70" s="593"/>
      <c r="C70" s="594"/>
      <c r="D70" s="592"/>
      <c r="E70" s="594"/>
      <c r="F70" s="595"/>
      <c r="G70" s="596"/>
      <c r="H70" s="597"/>
      <c r="I70" s="598"/>
      <c r="J70" s="597"/>
      <c r="K70" s="598"/>
      <c r="L70" s="597"/>
    </row>
    <row r="71" spans="1:12" s="531" customFormat="1" ht="24.75" customHeight="1">
      <c r="A71" s="138" t="s">
        <v>1179</v>
      </c>
      <c r="B71" s="529"/>
      <c r="C71" s="529"/>
      <c r="D71" s="529"/>
      <c r="E71" s="529"/>
      <c r="F71" s="495"/>
      <c r="G71" s="529"/>
      <c r="H71" s="530"/>
      <c r="I71" s="529"/>
      <c r="J71" s="529"/>
      <c r="K71" s="529"/>
      <c r="L71" s="529"/>
    </row>
    <row r="72" spans="1:12" s="521" customFormat="1" ht="27.75" customHeight="1">
      <c r="A72" s="599"/>
      <c r="C72" s="565"/>
      <c r="D72" s="565"/>
      <c r="E72" s="566"/>
      <c r="F72" s="565"/>
      <c r="G72" s="566"/>
      <c r="J72" s="590"/>
      <c r="K72" s="599"/>
      <c r="L72" s="600"/>
    </row>
    <row r="73" spans="1:12" s="521" customFormat="1" ht="27.75" customHeight="1">
      <c r="A73" s="599"/>
      <c r="C73" s="565"/>
      <c r="D73" s="565"/>
      <c r="E73" s="566"/>
      <c r="F73" s="565"/>
      <c r="G73" s="566"/>
      <c r="J73" s="590"/>
      <c r="K73" s="599"/>
      <c r="L73" s="600"/>
    </row>
    <row r="74" spans="1:10" s="524" customFormat="1" ht="24" customHeight="1">
      <c r="A74" s="601"/>
      <c r="B74" s="601"/>
      <c r="C74" s="495"/>
      <c r="D74" s="601"/>
      <c r="E74" s="601"/>
      <c r="F74" s="601"/>
      <c r="G74" s="601"/>
      <c r="H74" s="318"/>
      <c r="I74" s="602"/>
      <c r="J74" s="495"/>
    </row>
    <row r="75" spans="1:12" s="521" customFormat="1" ht="27.75" customHeight="1">
      <c r="A75" s="589"/>
      <c r="C75" s="565"/>
      <c r="D75" s="565"/>
      <c r="E75" s="566"/>
      <c r="F75" s="565"/>
      <c r="G75" s="566"/>
      <c r="K75" s="590"/>
      <c r="L75" s="590"/>
    </row>
    <row r="76" spans="1:12" s="521" customFormat="1" ht="27.75" customHeight="1">
      <c r="A76" s="564"/>
      <c r="B76" s="564"/>
      <c r="C76" s="565"/>
      <c r="D76" s="565"/>
      <c r="E76" s="566"/>
      <c r="F76" s="565"/>
      <c r="G76" s="566"/>
      <c r="J76" s="146"/>
      <c r="K76" s="146"/>
      <c r="L76" s="146"/>
    </row>
    <row r="77" spans="1:12" s="521" customFormat="1" ht="27.75" customHeight="1">
      <c r="A77" s="564"/>
      <c r="B77" s="564"/>
      <c r="C77" s="565"/>
      <c r="D77" s="565"/>
      <c r="E77" s="566"/>
      <c r="F77" s="565"/>
      <c r="G77" s="566"/>
      <c r="J77" s="146"/>
      <c r="K77" s="146"/>
      <c r="L77" s="146"/>
    </row>
  </sheetData>
  <sheetProtection/>
  <printOptions/>
  <pageMargins left="0.3937007874015748" right="0.1968503937007874" top="0.5905511811023623" bottom="0.1968503937007874" header="0.2362204724409449" footer="0.1968503937007874"/>
  <pageSetup fitToHeight="7" horizontalDpi="600" verticalDpi="600" orientation="portrait" paperSize="9" scale="82" r:id="rId2"/>
  <rowBreaks count="1" manualBreakCount="1">
    <brk id="37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6"/>
  <sheetViews>
    <sheetView zoomScale="115" zoomScaleNormal="115" zoomScaleSheetLayoutView="100" workbookViewId="0" topLeftCell="A1">
      <selection activeCell="A7" sqref="A7"/>
    </sheetView>
  </sheetViews>
  <sheetFormatPr defaultColWidth="11.7109375" defaultRowHeight="18" customHeight="1"/>
  <cols>
    <col min="1" max="1" width="3.8515625" style="149" customWidth="1"/>
    <col min="2" max="2" width="3.7109375" style="149" customWidth="1"/>
    <col min="3" max="3" width="38.28125" style="149" customWidth="1"/>
    <col min="4" max="4" width="17.28125" style="149" customWidth="1"/>
    <col min="5" max="5" width="9.28125" style="149" bestFit="1" customWidth="1"/>
    <col min="6" max="6" width="10.421875" style="149" bestFit="1" customWidth="1"/>
    <col min="7" max="7" width="1.1484375" style="149" customWidth="1"/>
    <col min="8" max="8" width="10.421875" style="149" bestFit="1" customWidth="1"/>
    <col min="9" max="9" width="1.1484375" style="152" customWidth="1"/>
    <col min="10" max="10" width="8.421875" style="149" customWidth="1"/>
    <col min="11" max="11" width="0.9921875" style="149" customWidth="1"/>
    <col min="12" max="12" width="8.140625" style="149" customWidth="1"/>
    <col min="13" max="13" width="0.9921875" style="149" customWidth="1"/>
    <col min="14" max="14" width="14.7109375" style="149" customWidth="1"/>
    <col min="15" max="15" width="1.1484375" style="149" customWidth="1"/>
    <col min="16" max="16" width="15.00390625" style="149" bestFit="1" customWidth="1"/>
    <col min="17" max="17" width="0.9921875" style="149" customWidth="1"/>
    <col min="18" max="18" width="15.00390625" style="149" bestFit="1" customWidth="1"/>
    <col min="19" max="19" width="0.9921875" style="149" customWidth="1"/>
    <col min="20" max="20" width="14.140625" style="149" bestFit="1" customWidth="1"/>
    <col min="21" max="21" width="0.9921875" style="149" customWidth="1"/>
    <col min="22" max="22" width="13.28125" style="149" customWidth="1"/>
    <col min="23" max="23" width="1.1484375" style="149" customWidth="1"/>
    <col min="24" max="24" width="13.28125" style="149" customWidth="1"/>
    <col min="25" max="25" width="6.421875" style="149" customWidth="1"/>
    <col min="26" max="26" width="13.421875" style="149" bestFit="1" customWidth="1"/>
    <col min="27" max="27" width="12.421875" style="149" bestFit="1" customWidth="1"/>
    <col min="28" max="16384" width="11.7109375" style="149" customWidth="1"/>
  </cols>
  <sheetData>
    <row r="1" spans="1:25" ht="18" customHeight="1">
      <c r="A1" s="603" t="s">
        <v>1166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03"/>
      <c r="U1" s="603"/>
      <c r="V1" s="603"/>
      <c r="W1" s="603"/>
      <c r="X1" s="603"/>
      <c r="Y1" s="148"/>
    </row>
    <row r="2" spans="1:25" ht="17.25">
      <c r="A2" s="147"/>
      <c r="B2" s="147"/>
      <c r="C2" s="147"/>
      <c r="D2" s="147"/>
      <c r="E2" s="147"/>
      <c r="F2" s="147"/>
      <c r="G2" s="147"/>
      <c r="H2" s="147"/>
      <c r="I2" s="150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</row>
    <row r="3" spans="1:25" ht="18" customHeight="1">
      <c r="A3" s="151" t="s">
        <v>1210</v>
      </c>
      <c r="E3" s="147"/>
      <c r="Y3" s="148"/>
    </row>
    <row r="4" spans="1:25" ht="17.25">
      <c r="A4" s="149" t="s">
        <v>1284</v>
      </c>
      <c r="E4" s="147"/>
      <c r="F4" s="153"/>
      <c r="G4" s="153"/>
      <c r="H4" s="153"/>
      <c r="I4" s="153"/>
      <c r="J4" s="153"/>
      <c r="K4" s="153"/>
      <c r="P4" s="154"/>
      <c r="Q4" s="154"/>
      <c r="Y4" s="148"/>
    </row>
    <row r="5" spans="1:25" ht="18" customHeight="1">
      <c r="A5" s="155" t="s">
        <v>221</v>
      </c>
      <c r="B5" s="155" t="s">
        <v>574</v>
      </c>
      <c r="C5" s="155"/>
      <c r="D5" s="155" t="s">
        <v>575</v>
      </c>
      <c r="E5" s="156" t="s">
        <v>218</v>
      </c>
      <c r="F5" s="157" t="s">
        <v>222</v>
      </c>
      <c r="G5" s="157"/>
      <c r="H5" s="157"/>
      <c r="I5" s="150"/>
      <c r="J5" s="157" t="s">
        <v>282</v>
      </c>
      <c r="K5" s="157"/>
      <c r="L5" s="155"/>
      <c r="M5" s="156"/>
      <c r="N5" s="156" t="s">
        <v>541</v>
      </c>
      <c r="O5" s="156"/>
      <c r="P5" s="156" t="s">
        <v>1171</v>
      </c>
      <c r="Q5" s="156"/>
      <c r="R5" s="604" t="s">
        <v>126</v>
      </c>
      <c r="S5" s="604"/>
      <c r="T5" s="604"/>
      <c r="U5" s="156"/>
      <c r="V5" s="604" t="s">
        <v>224</v>
      </c>
      <c r="W5" s="604"/>
      <c r="X5" s="604"/>
      <c r="Y5" s="148"/>
    </row>
    <row r="6" spans="1:25" ht="18" customHeight="1">
      <c r="A6" s="157"/>
      <c r="B6" s="157"/>
      <c r="C6" s="157"/>
      <c r="D6" s="157"/>
      <c r="E6" s="150" t="s">
        <v>219</v>
      </c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 t="s">
        <v>1172</v>
      </c>
      <c r="Q6" s="150"/>
      <c r="R6" s="605"/>
      <c r="S6" s="605"/>
      <c r="T6" s="605"/>
      <c r="U6" s="150"/>
      <c r="V6" s="605"/>
      <c r="W6" s="605"/>
      <c r="X6" s="605"/>
      <c r="Y6" s="148"/>
    </row>
    <row r="7" spans="1:25" ht="18" customHeight="1">
      <c r="A7" s="157"/>
      <c r="B7" s="150"/>
      <c r="C7" s="157"/>
      <c r="D7" s="157"/>
      <c r="E7" s="150"/>
      <c r="F7" s="1155"/>
      <c r="G7" s="1155"/>
      <c r="H7" s="1155"/>
      <c r="I7" s="150"/>
      <c r="J7" s="1155"/>
      <c r="K7" s="1155"/>
      <c r="L7" s="1155"/>
      <c r="M7" s="150"/>
      <c r="N7" s="158"/>
      <c r="O7" s="158"/>
      <c r="P7" s="158" t="s">
        <v>1173</v>
      </c>
      <c r="Q7" s="150"/>
      <c r="R7" s="606" t="s">
        <v>223</v>
      </c>
      <c r="S7" s="606"/>
      <c r="T7" s="606"/>
      <c r="U7" s="150"/>
      <c r="V7" s="158"/>
      <c r="W7" s="158"/>
      <c r="X7" s="158"/>
      <c r="Y7" s="148"/>
    </row>
    <row r="8" spans="1:25" ht="18" customHeight="1">
      <c r="A8" s="157"/>
      <c r="B8" s="150"/>
      <c r="C8" s="157"/>
      <c r="D8" s="157"/>
      <c r="E8" s="150"/>
      <c r="F8" s="607" t="s">
        <v>225</v>
      </c>
      <c r="G8" s="607"/>
      <c r="H8" s="607"/>
      <c r="I8" s="150"/>
      <c r="J8" s="607" t="s">
        <v>285</v>
      </c>
      <c r="K8" s="607"/>
      <c r="L8" s="607"/>
      <c r="M8" s="150"/>
      <c r="N8" s="607" t="s">
        <v>226</v>
      </c>
      <c r="O8" s="607"/>
      <c r="P8" s="607"/>
      <c r="Q8" s="150"/>
      <c r="R8" s="607" t="s">
        <v>226</v>
      </c>
      <c r="S8" s="607"/>
      <c r="T8" s="607"/>
      <c r="U8" s="150"/>
      <c r="V8" s="607" t="s">
        <v>226</v>
      </c>
      <c r="W8" s="607"/>
      <c r="X8" s="607"/>
      <c r="Y8" s="148"/>
    </row>
    <row r="9" spans="1:25" ht="18" customHeight="1">
      <c r="A9" s="160"/>
      <c r="B9" s="158"/>
      <c r="C9" s="160"/>
      <c r="D9" s="160"/>
      <c r="E9" s="158"/>
      <c r="F9" s="161">
        <v>2560</v>
      </c>
      <c r="G9" s="159"/>
      <c r="H9" s="161">
        <v>2559</v>
      </c>
      <c r="I9" s="150"/>
      <c r="J9" s="161">
        <v>2560</v>
      </c>
      <c r="K9" s="159"/>
      <c r="L9" s="161">
        <v>2559</v>
      </c>
      <c r="M9" s="159"/>
      <c r="N9" s="161">
        <v>2560</v>
      </c>
      <c r="O9" s="159"/>
      <c r="P9" s="161">
        <v>2559</v>
      </c>
      <c r="Q9" s="150"/>
      <c r="R9" s="161">
        <v>2560</v>
      </c>
      <c r="S9" s="159"/>
      <c r="T9" s="161">
        <v>2559</v>
      </c>
      <c r="U9" s="150"/>
      <c r="V9" s="161">
        <v>2560</v>
      </c>
      <c r="W9" s="159"/>
      <c r="X9" s="161">
        <v>2559</v>
      </c>
      <c r="Y9" s="148"/>
    </row>
    <row r="10" spans="1:25" ht="17.25">
      <c r="A10" s="157"/>
      <c r="B10" s="150"/>
      <c r="C10" s="157"/>
      <c r="D10" s="157"/>
      <c r="E10" s="150"/>
      <c r="F10" s="159"/>
      <c r="G10" s="159"/>
      <c r="H10" s="159"/>
      <c r="I10" s="150"/>
      <c r="J10" s="159"/>
      <c r="K10" s="159"/>
      <c r="L10" s="159"/>
      <c r="M10" s="159"/>
      <c r="N10" s="159"/>
      <c r="O10" s="159"/>
      <c r="P10" s="159" t="s">
        <v>1839</v>
      </c>
      <c r="Q10" s="150"/>
      <c r="R10" s="159"/>
      <c r="S10" s="159"/>
      <c r="T10" s="159"/>
      <c r="U10" s="150"/>
      <c r="V10" s="159"/>
      <c r="W10" s="159"/>
      <c r="X10" s="159"/>
      <c r="Y10" s="148"/>
    </row>
    <row r="11" spans="1:25" ht="4.5" customHeight="1">
      <c r="A11" s="157"/>
      <c r="B11" s="150"/>
      <c r="C11" s="157"/>
      <c r="D11" s="157"/>
      <c r="E11" s="150"/>
      <c r="F11" s="159"/>
      <c r="G11" s="159"/>
      <c r="H11" s="159"/>
      <c r="I11" s="150"/>
      <c r="J11" s="159"/>
      <c r="K11" s="159"/>
      <c r="L11" s="159"/>
      <c r="M11" s="159"/>
      <c r="N11" s="159"/>
      <c r="O11" s="159"/>
      <c r="P11" s="159"/>
      <c r="Q11" s="150"/>
      <c r="R11" s="159"/>
      <c r="S11" s="159"/>
      <c r="T11" s="159"/>
      <c r="U11" s="150"/>
      <c r="V11" s="159"/>
      <c r="W11" s="159"/>
      <c r="X11" s="159"/>
      <c r="Y11" s="148"/>
    </row>
    <row r="12" spans="1:27" ht="18" customHeight="1">
      <c r="A12" s="150">
        <v>1</v>
      </c>
      <c r="B12" s="150" t="s">
        <v>576</v>
      </c>
      <c r="C12" s="152" t="s">
        <v>1279</v>
      </c>
      <c r="D12" s="152" t="s">
        <v>578</v>
      </c>
      <c r="E12" s="150" t="s">
        <v>178</v>
      </c>
      <c r="F12" s="162">
        <v>329704</v>
      </c>
      <c r="G12" s="162"/>
      <c r="H12" s="163">
        <v>0</v>
      </c>
      <c r="I12" s="162"/>
      <c r="J12" s="163">
        <v>25.06</v>
      </c>
      <c r="K12" s="163"/>
      <c r="L12" s="163">
        <v>0</v>
      </c>
      <c r="M12" s="164"/>
      <c r="N12" s="165">
        <v>6692685940.83</v>
      </c>
      <c r="O12" s="165"/>
      <c r="P12" s="165">
        <v>0</v>
      </c>
      <c r="Q12" s="165"/>
      <c r="R12" s="165">
        <v>3180573043.07</v>
      </c>
      <c r="S12" s="165"/>
      <c r="T12" s="165">
        <v>0</v>
      </c>
      <c r="U12" s="165"/>
      <c r="V12" s="165">
        <v>0</v>
      </c>
      <c r="W12" s="165"/>
      <c r="X12" s="165">
        <v>0</v>
      </c>
      <c r="Y12" s="148"/>
      <c r="AA12" s="154"/>
    </row>
    <row r="13" spans="1:27" ht="18" customHeight="1">
      <c r="A13" s="150">
        <v>2</v>
      </c>
      <c r="B13" s="150" t="s">
        <v>576</v>
      </c>
      <c r="C13" s="152" t="s">
        <v>1211</v>
      </c>
      <c r="D13" s="152" t="s">
        <v>1212</v>
      </c>
      <c r="E13" s="150" t="s">
        <v>178</v>
      </c>
      <c r="F13" s="162">
        <v>450000</v>
      </c>
      <c r="G13" s="162"/>
      <c r="H13" s="163">
        <v>0</v>
      </c>
      <c r="I13" s="162"/>
      <c r="J13" s="163">
        <v>21.581699999999998</v>
      </c>
      <c r="K13" s="163"/>
      <c r="L13" s="163">
        <v>0</v>
      </c>
      <c r="M13" s="164"/>
      <c r="N13" s="165">
        <v>6314305384.45</v>
      </c>
      <c r="O13" s="165"/>
      <c r="P13" s="165">
        <v>0</v>
      </c>
      <c r="Q13" s="165"/>
      <c r="R13" s="165">
        <v>5758392324</v>
      </c>
      <c r="S13" s="165"/>
      <c r="T13" s="165">
        <v>0</v>
      </c>
      <c r="U13" s="165"/>
      <c r="V13" s="165">
        <v>68960454</v>
      </c>
      <c r="W13" s="165"/>
      <c r="X13" s="165">
        <v>0</v>
      </c>
      <c r="Y13" s="148"/>
      <c r="AA13" s="154"/>
    </row>
    <row r="14" spans="1:27" ht="18" customHeight="1">
      <c r="A14" s="150">
        <v>3</v>
      </c>
      <c r="B14" s="150" t="s">
        <v>576</v>
      </c>
      <c r="C14" s="152" t="s">
        <v>851</v>
      </c>
      <c r="D14" s="152" t="s">
        <v>581</v>
      </c>
      <c r="E14" s="150" t="s">
        <v>178</v>
      </c>
      <c r="F14" s="162">
        <v>290634</v>
      </c>
      <c r="G14" s="162"/>
      <c r="H14" s="162">
        <v>290634</v>
      </c>
      <c r="I14" s="162"/>
      <c r="J14" s="163">
        <v>22.49</v>
      </c>
      <c r="K14" s="163"/>
      <c r="L14" s="163">
        <v>22.49</v>
      </c>
      <c r="M14" s="164"/>
      <c r="N14" s="165">
        <v>3766776555.34</v>
      </c>
      <c r="O14" s="165"/>
      <c r="P14" s="165">
        <v>3654021352.4</v>
      </c>
      <c r="Q14" s="165"/>
      <c r="R14" s="165">
        <v>702907481.9899999</v>
      </c>
      <c r="S14" s="165"/>
      <c r="T14" s="165">
        <v>702907481.99</v>
      </c>
      <c r="U14" s="165"/>
      <c r="V14" s="165">
        <v>75156686</v>
      </c>
      <c r="W14" s="165"/>
      <c r="X14" s="165">
        <v>68621322</v>
      </c>
      <c r="Y14" s="148"/>
      <c r="AA14" s="154"/>
    </row>
    <row r="15" spans="1:27" ht="18" customHeight="1">
      <c r="A15" s="150">
        <v>4</v>
      </c>
      <c r="B15" s="150" t="s">
        <v>576</v>
      </c>
      <c r="C15" s="152" t="s">
        <v>580</v>
      </c>
      <c r="D15" s="152" t="s">
        <v>581</v>
      </c>
      <c r="E15" s="150" t="s">
        <v>178</v>
      </c>
      <c r="F15" s="162">
        <v>330000</v>
      </c>
      <c r="G15" s="162"/>
      <c r="H15" s="162">
        <v>330000</v>
      </c>
      <c r="I15" s="162"/>
      <c r="J15" s="163">
        <v>20</v>
      </c>
      <c r="K15" s="163"/>
      <c r="L15" s="163">
        <v>20</v>
      </c>
      <c r="M15" s="164"/>
      <c r="N15" s="165">
        <v>2699894002.18</v>
      </c>
      <c r="O15" s="165"/>
      <c r="P15" s="165">
        <v>2502413250.88</v>
      </c>
      <c r="Q15" s="165"/>
      <c r="R15" s="165">
        <v>319955400.86</v>
      </c>
      <c r="S15" s="165"/>
      <c r="T15" s="165">
        <v>319800476</v>
      </c>
      <c r="U15" s="165"/>
      <c r="V15" s="165">
        <f>85800084.5+33000032.5</f>
        <v>118800117</v>
      </c>
      <c r="W15" s="165"/>
      <c r="X15" s="165">
        <v>72600071.5</v>
      </c>
      <c r="Y15" s="148"/>
      <c r="Z15" s="608"/>
      <c r="AA15" s="154"/>
    </row>
    <row r="16" spans="1:27" ht="18" customHeight="1">
      <c r="A16" s="150">
        <v>5</v>
      </c>
      <c r="B16" s="150" t="s">
        <v>576</v>
      </c>
      <c r="C16" s="152" t="s">
        <v>579</v>
      </c>
      <c r="D16" s="152" t="s">
        <v>229</v>
      </c>
      <c r="E16" s="150" t="s">
        <v>178</v>
      </c>
      <c r="F16" s="162">
        <v>120000</v>
      </c>
      <c r="G16" s="162"/>
      <c r="H16" s="162">
        <v>120000</v>
      </c>
      <c r="I16" s="162"/>
      <c r="J16" s="163">
        <v>21.26</v>
      </c>
      <c r="K16" s="163"/>
      <c r="L16" s="163">
        <v>21.26</v>
      </c>
      <c r="M16" s="164"/>
      <c r="N16" s="165">
        <v>1184042965.09</v>
      </c>
      <c r="O16" s="165"/>
      <c r="P16" s="165">
        <v>1144839092.66</v>
      </c>
      <c r="Q16" s="165"/>
      <c r="R16" s="165">
        <v>63545155</v>
      </c>
      <c r="S16" s="165"/>
      <c r="T16" s="165">
        <v>63545155</v>
      </c>
      <c r="U16" s="165">
        <v>1081479481.3100002</v>
      </c>
      <c r="V16" s="165">
        <v>33166250</v>
      </c>
      <c r="W16" s="165"/>
      <c r="X16" s="165">
        <v>28063750</v>
      </c>
      <c r="Y16" s="148"/>
      <c r="AA16" s="154"/>
    </row>
    <row r="17" spans="1:27" ht="18" customHeight="1">
      <c r="A17" s="150">
        <v>6</v>
      </c>
      <c r="B17" s="150" t="s">
        <v>576</v>
      </c>
      <c r="C17" s="152" t="s">
        <v>577</v>
      </c>
      <c r="D17" s="152" t="s">
        <v>227</v>
      </c>
      <c r="E17" s="150" t="s">
        <v>179</v>
      </c>
      <c r="F17" s="162">
        <v>120000</v>
      </c>
      <c r="G17" s="162"/>
      <c r="H17" s="162">
        <v>120000</v>
      </c>
      <c r="I17" s="162"/>
      <c r="J17" s="163">
        <v>23.52</v>
      </c>
      <c r="K17" s="163"/>
      <c r="L17" s="163">
        <v>23.52</v>
      </c>
      <c r="M17" s="164"/>
      <c r="N17" s="165">
        <v>819723884.25</v>
      </c>
      <c r="O17" s="165"/>
      <c r="P17" s="165">
        <v>803225676.8</v>
      </c>
      <c r="Q17" s="165"/>
      <c r="R17" s="165">
        <v>28688920.22</v>
      </c>
      <c r="S17" s="165"/>
      <c r="T17" s="165">
        <v>28688920.22</v>
      </c>
      <c r="U17" s="165"/>
      <c r="V17" s="165">
        <v>23987697</v>
      </c>
      <c r="W17" s="165"/>
      <c r="X17" s="165">
        <v>21165615</v>
      </c>
      <c r="Y17" s="148"/>
      <c r="AA17" s="154"/>
    </row>
    <row r="18" spans="1:27" ht="18" customHeight="1">
      <c r="A18" s="150">
        <v>7</v>
      </c>
      <c r="B18" s="150" t="s">
        <v>576</v>
      </c>
      <c r="C18" s="152" t="s">
        <v>1280</v>
      </c>
      <c r="D18" s="152" t="s">
        <v>578</v>
      </c>
      <c r="E18" s="150" t="s">
        <v>178</v>
      </c>
      <c r="F18" s="163">
        <v>0</v>
      </c>
      <c r="G18" s="162"/>
      <c r="H18" s="162">
        <v>180000</v>
      </c>
      <c r="I18" s="162"/>
      <c r="J18" s="163">
        <v>0</v>
      </c>
      <c r="K18" s="163"/>
      <c r="L18" s="163">
        <v>21.96</v>
      </c>
      <c r="M18" s="164"/>
      <c r="N18" s="165">
        <v>0</v>
      </c>
      <c r="O18" s="165"/>
      <c r="P18" s="165">
        <v>3426108432.19</v>
      </c>
      <c r="Q18" s="165"/>
      <c r="R18" s="165">
        <v>0</v>
      </c>
      <c r="S18" s="165"/>
      <c r="T18" s="165">
        <v>90310095.47</v>
      </c>
      <c r="U18" s="165"/>
      <c r="V18" s="165">
        <f>86945804+112180502.4</f>
        <v>199126306.4</v>
      </c>
      <c r="W18" s="165"/>
      <c r="X18" s="165">
        <f>82598513.8+104730173</f>
        <v>187328686.8</v>
      </c>
      <c r="Y18" s="148"/>
      <c r="AA18" s="154"/>
    </row>
    <row r="19" spans="1:27" ht="18" customHeight="1">
      <c r="A19" s="150">
        <v>8</v>
      </c>
      <c r="B19" s="150" t="s">
        <v>576</v>
      </c>
      <c r="C19" s="152" t="s">
        <v>1281</v>
      </c>
      <c r="D19" s="152" t="s">
        <v>1213</v>
      </c>
      <c r="E19" s="150" t="s">
        <v>179</v>
      </c>
      <c r="F19" s="163">
        <v>0</v>
      </c>
      <c r="G19" s="162"/>
      <c r="H19" s="163">
        <v>0</v>
      </c>
      <c r="I19" s="162"/>
      <c r="J19" s="163">
        <v>0</v>
      </c>
      <c r="K19" s="163"/>
      <c r="L19" s="163">
        <v>0</v>
      </c>
      <c r="M19" s="164"/>
      <c r="N19" s="165">
        <v>0</v>
      </c>
      <c r="O19" s="165"/>
      <c r="P19" s="165">
        <v>0</v>
      </c>
      <c r="Q19" s="165"/>
      <c r="R19" s="165">
        <v>0</v>
      </c>
      <c r="S19" s="165"/>
      <c r="T19" s="165">
        <v>0</v>
      </c>
      <c r="U19" s="165"/>
      <c r="V19" s="165">
        <v>53143587</v>
      </c>
      <c r="W19" s="165"/>
      <c r="X19" s="165">
        <v>0</v>
      </c>
      <c r="Y19" s="148"/>
      <c r="AA19" s="154"/>
    </row>
    <row r="20" spans="1:27" ht="18" customHeight="1">
      <c r="A20" s="150">
        <v>9</v>
      </c>
      <c r="B20" s="150" t="s">
        <v>439</v>
      </c>
      <c r="C20" s="152" t="s">
        <v>590</v>
      </c>
      <c r="D20" s="152" t="s">
        <v>232</v>
      </c>
      <c r="E20" s="150" t="s">
        <v>178</v>
      </c>
      <c r="F20" s="166">
        <v>300000</v>
      </c>
      <c r="G20" s="166"/>
      <c r="H20" s="166">
        <v>300000</v>
      </c>
      <c r="I20" s="166"/>
      <c r="J20" s="163">
        <v>24.8</v>
      </c>
      <c r="K20" s="163"/>
      <c r="L20" s="163">
        <v>24.8</v>
      </c>
      <c r="M20" s="164"/>
      <c r="N20" s="165">
        <v>1029707130.57</v>
      </c>
      <c r="O20" s="165"/>
      <c r="P20" s="165">
        <v>995547504.5232</v>
      </c>
      <c r="Q20" s="165"/>
      <c r="R20" s="165">
        <v>74400000</v>
      </c>
      <c r="S20" s="165"/>
      <c r="T20" s="165">
        <v>74400000</v>
      </c>
      <c r="U20" s="165"/>
      <c r="V20" s="165">
        <f>90582000+49602480</f>
        <v>140184480</v>
      </c>
      <c r="W20" s="165"/>
      <c r="X20" s="165">
        <v>79236000</v>
      </c>
      <c r="Y20" s="148"/>
      <c r="AA20" s="154"/>
    </row>
    <row r="21" spans="1:27" ht="18" customHeight="1">
      <c r="A21" s="150">
        <v>10</v>
      </c>
      <c r="B21" s="150" t="s">
        <v>439</v>
      </c>
      <c r="C21" s="152" t="s">
        <v>440</v>
      </c>
      <c r="D21" s="152" t="s">
        <v>592</v>
      </c>
      <c r="E21" s="150" t="s">
        <v>178</v>
      </c>
      <c r="F21" s="166">
        <v>120000</v>
      </c>
      <c r="G21" s="166"/>
      <c r="H21" s="166">
        <v>120000</v>
      </c>
      <c r="I21" s="166"/>
      <c r="J21" s="163">
        <v>25</v>
      </c>
      <c r="K21" s="163"/>
      <c r="L21" s="163">
        <v>25</v>
      </c>
      <c r="M21" s="164"/>
      <c r="N21" s="165">
        <v>936655613.04</v>
      </c>
      <c r="O21" s="165"/>
      <c r="P21" s="165">
        <v>901120118.6700002</v>
      </c>
      <c r="Q21" s="165"/>
      <c r="R21" s="165">
        <v>165000000</v>
      </c>
      <c r="S21" s="165"/>
      <c r="T21" s="165">
        <v>165000000</v>
      </c>
      <c r="U21" s="165"/>
      <c r="V21" s="165">
        <v>21000000</v>
      </c>
      <c r="W21" s="165"/>
      <c r="X21" s="165">
        <v>24000000</v>
      </c>
      <c r="Y21" s="148"/>
      <c r="AA21" s="154"/>
    </row>
    <row r="22" spans="1:27" ht="18" customHeight="1">
      <c r="A22" s="150">
        <v>11</v>
      </c>
      <c r="B22" s="150" t="s">
        <v>439</v>
      </c>
      <c r="C22" s="152" t="s">
        <v>748</v>
      </c>
      <c r="D22" s="152" t="s">
        <v>582</v>
      </c>
      <c r="E22" s="150" t="s">
        <v>178</v>
      </c>
      <c r="F22" s="166">
        <v>60000</v>
      </c>
      <c r="G22" s="166"/>
      <c r="H22" s="166">
        <v>60000</v>
      </c>
      <c r="I22" s="166"/>
      <c r="J22" s="163">
        <v>33.58</v>
      </c>
      <c r="K22" s="163"/>
      <c r="L22" s="163">
        <v>37.73</v>
      </c>
      <c r="M22" s="164"/>
      <c r="N22" s="165">
        <v>668315901.93</v>
      </c>
      <c r="O22" s="165"/>
      <c r="P22" s="165">
        <v>627420666.49</v>
      </c>
      <c r="Q22" s="165"/>
      <c r="R22" s="165">
        <v>20149600</v>
      </c>
      <c r="S22" s="165"/>
      <c r="T22" s="165">
        <v>22639600</v>
      </c>
      <c r="U22" s="165"/>
      <c r="V22" s="165">
        <v>22639600</v>
      </c>
      <c r="W22" s="165"/>
      <c r="X22" s="165">
        <v>19243660</v>
      </c>
      <c r="Y22" s="148"/>
      <c r="AA22" s="154"/>
    </row>
    <row r="23" spans="1:27" ht="18" customHeight="1">
      <c r="A23" s="150">
        <v>12</v>
      </c>
      <c r="B23" s="150" t="s">
        <v>749</v>
      </c>
      <c r="C23" s="152" t="s">
        <v>750</v>
      </c>
      <c r="D23" s="152" t="s">
        <v>751</v>
      </c>
      <c r="E23" s="150" t="s">
        <v>233</v>
      </c>
      <c r="F23" s="166">
        <v>378934</v>
      </c>
      <c r="G23" s="166"/>
      <c r="H23" s="166">
        <v>378934</v>
      </c>
      <c r="I23" s="166"/>
      <c r="J23" s="163">
        <v>25.5</v>
      </c>
      <c r="K23" s="163"/>
      <c r="L23" s="163">
        <v>25.5</v>
      </c>
      <c r="M23" s="164"/>
      <c r="N23" s="165">
        <v>239921318.34</v>
      </c>
      <c r="O23" s="165"/>
      <c r="P23" s="165">
        <v>230562294.82</v>
      </c>
      <c r="Q23" s="165"/>
      <c r="R23" s="165">
        <v>196965028</v>
      </c>
      <c r="S23" s="165"/>
      <c r="T23" s="165">
        <v>196965028</v>
      </c>
      <c r="U23" s="165"/>
      <c r="V23" s="165">
        <v>18521579.5</v>
      </c>
      <c r="W23" s="165"/>
      <c r="X23" s="165">
        <v>0</v>
      </c>
      <c r="Y23" s="148"/>
      <c r="AA23" s="154"/>
    </row>
    <row r="24" spans="1:27" ht="18" customHeight="1">
      <c r="A24" s="150">
        <v>13</v>
      </c>
      <c r="B24" s="150" t="s">
        <v>439</v>
      </c>
      <c r="C24" s="152" t="s">
        <v>852</v>
      </c>
      <c r="D24" s="152" t="s">
        <v>597</v>
      </c>
      <c r="E24" s="150" t="s">
        <v>182</v>
      </c>
      <c r="F24" s="166">
        <v>412500</v>
      </c>
      <c r="G24" s="166"/>
      <c r="H24" s="166">
        <v>250000</v>
      </c>
      <c r="I24" s="166"/>
      <c r="J24" s="163">
        <v>40</v>
      </c>
      <c r="K24" s="163"/>
      <c r="L24" s="163">
        <v>40</v>
      </c>
      <c r="M24" s="164"/>
      <c r="N24" s="165">
        <v>213136327.04</v>
      </c>
      <c r="O24" s="165"/>
      <c r="P24" s="165">
        <v>163851521.75</v>
      </c>
      <c r="Q24" s="165"/>
      <c r="R24" s="165">
        <v>165000000</v>
      </c>
      <c r="S24" s="165"/>
      <c r="T24" s="165">
        <v>100000000</v>
      </c>
      <c r="U24" s="165"/>
      <c r="V24" s="165">
        <v>0</v>
      </c>
      <c r="W24" s="165"/>
      <c r="X24" s="165">
        <v>1000000</v>
      </c>
      <c r="Y24" s="148"/>
      <c r="AA24" s="154"/>
    </row>
    <row r="25" spans="1:27" ht="18" customHeight="1">
      <c r="A25" s="150">
        <v>14</v>
      </c>
      <c r="B25" s="150" t="s">
        <v>439</v>
      </c>
      <c r="C25" s="152" t="s">
        <v>589</v>
      </c>
      <c r="D25" s="152" t="s">
        <v>231</v>
      </c>
      <c r="E25" s="150" t="s">
        <v>178</v>
      </c>
      <c r="F25" s="166">
        <v>40000</v>
      </c>
      <c r="G25" s="166"/>
      <c r="H25" s="166">
        <v>40000</v>
      </c>
      <c r="I25" s="166"/>
      <c r="J25" s="163">
        <v>28.15</v>
      </c>
      <c r="K25" s="163"/>
      <c r="L25" s="163">
        <v>28.15</v>
      </c>
      <c r="M25" s="164"/>
      <c r="N25" s="165">
        <v>141455520.31</v>
      </c>
      <c r="O25" s="165"/>
      <c r="P25" s="165">
        <v>124495661.15</v>
      </c>
      <c r="Q25" s="165"/>
      <c r="R25" s="165">
        <v>11258200</v>
      </c>
      <c r="S25" s="165"/>
      <c r="T25" s="165">
        <v>11258200</v>
      </c>
      <c r="U25" s="165"/>
      <c r="V25" s="165">
        <v>3377460</v>
      </c>
      <c r="W25" s="165"/>
      <c r="X25" s="165">
        <v>3377460</v>
      </c>
      <c r="Y25" s="148"/>
      <c r="AA25" s="154"/>
    </row>
    <row r="26" spans="1:27" ht="18" customHeight="1">
      <c r="A26" s="150">
        <v>15</v>
      </c>
      <c r="B26" s="150" t="s">
        <v>439</v>
      </c>
      <c r="C26" s="152" t="s">
        <v>643</v>
      </c>
      <c r="D26" s="152" t="s">
        <v>582</v>
      </c>
      <c r="E26" s="150" t="s">
        <v>178</v>
      </c>
      <c r="F26" s="166">
        <v>120000</v>
      </c>
      <c r="G26" s="166"/>
      <c r="H26" s="166">
        <v>120000</v>
      </c>
      <c r="I26" s="166"/>
      <c r="J26" s="163">
        <v>20</v>
      </c>
      <c r="K26" s="163"/>
      <c r="L26" s="163">
        <v>20</v>
      </c>
      <c r="M26" s="164"/>
      <c r="N26" s="165">
        <v>122253183.55</v>
      </c>
      <c r="O26" s="165"/>
      <c r="P26" s="165">
        <v>115630802.89</v>
      </c>
      <c r="Q26" s="165"/>
      <c r="R26" s="165">
        <v>47625000</v>
      </c>
      <c r="S26" s="165"/>
      <c r="T26" s="165">
        <v>47625000</v>
      </c>
      <c r="U26" s="165"/>
      <c r="V26" s="165">
        <v>1440000</v>
      </c>
      <c r="W26" s="165"/>
      <c r="X26" s="165">
        <v>0</v>
      </c>
      <c r="Y26" s="148"/>
      <c r="AA26" s="154"/>
    </row>
    <row r="27" spans="1:27" ht="18" customHeight="1">
      <c r="A27" s="150">
        <v>16</v>
      </c>
      <c r="B27" s="150" t="s">
        <v>439</v>
      </c>
      <c r="C27" s="152" t="s">
        <v>853</v>
      </c>
      <c r="D27" s="152" t="s">
        <v>231</v>
      </c>
      <c r="E27" s="150" t="s">
        <v>280</v>
      </c>
      <c r="F27" s="166">
        <v>343000</v>
      </c>
      <c r="G27" s="166"/>
      <c r="H27" s="166">
        <v>270000</v>
      </c>
      <c r="I27" s="166"/>
      <c r="J27" s="163">
        <v>36</v>
      </c>
      <c r="K27" s="163"/>
      <c r="L27" s="163">
        <v>36</v>
      </c>
      <c r="M27" s="165"/>
      <c r="N27" s="165">
        <v>123500609.84</v>
      </c>
      <c r="O27" s="165"/>
      <c r="P27" s="165">
        <v>97005316.02</v>
      </c>
      <c r="Q27" s="165"/>
      <c r="R27" s="165">
        <v>123479990</v>
      </c>
      <c r="S27" s="165"/>
      <c r="T27" s="165">
        <v>97199990</v>
      </c>
      <c r="U27" s="165"/>
      <c r="V27" s="165">
        <v>0</v>
      </c>
      <c r="W27" s="165"/>
      <c r="X27" s="165">
        <v>0</v>
      </c>
      <c r="Y27" s="148"/>
      <c r="AA27" s="154"/>
    </row>
    <row r="28" spans="1:27" ht="18" customHeight="1">
      <c r="A28" s="150">
        <v>17</v>
      </c>
      <c r="B28" s="150" t="s">
        <v>439</v>
      </c>
      <c r="C28" s="152" t="s">
        <v>543</v>
      </c>
      <c r="D28" s="152" t="s">
        <v>544</v>
      </c>
      <c r="E28" s="150" t="s">
        <v>741</v>
      </c>
      <c r="F28" s="166">
        <v>332000</v>
      </c>
      <c r="G28" s="166"/>
      <c r="H28" s="166">
        <v>332000</v>
      </c>
      <c r="I28" s="166"/>
      <c r="J28" s="163">
        <v>20</v>
      </c>
      <c r="K28" s="163"/>
      <c r="L28" s="163">
        <v>20</v>
      </c>
      <c r="M28" s="165"/>
      <c r="N28" s="165">
        <v>71694803.36</v>
      </c>
      <c r="O28" s="165"/>
      <c r="P28" s="165">
        <v>66637227.4</v>
      </c>
      <c r="Q28" s="165"/>
      <c r="R28" s="165">
        <v>66400000</v>
      </c>
      <c r="S28" s="165"/>
      <c r="T28" s="165">
        <v>66400000</v>
      </c>
      <c r="U28" s="165"/>
      <c r="V28" s="165">
        <v>0</v>
      </c>
      <c r="W28" s="165"/>
      <c r="X28" s="165">
        <v>0</v>
      </c>
      <c r="Y28" s="148"/>
      <c r="AA28" s="154"/>
    </row>
    <row r="29" spans="1:27" ht="18" customHeight="1">
      <c r="A29" s="150">
        <v>18</v>
      </c>
      <c r="B29" s="150" t="s">
        <v>439</v>
      </c>
      <c r="C29" s="152" t="s">
        <v>587</v>
      </c>
      <c r="D29" s="152" t="s">
        <v>588</v>
      </c>
      <c r="E29" s="150" t="s">
        <v>182</v>
      </c>
      <c r="F29" s="166">
        <v>325000</v>
      </c>
      <c r="G29" s="166"/>
      <c r="H29" s="166">
        <v>345000</v>
      </c>
      <c r="I29" s="166"/>
      <c r="J29" s="163">
        <v>26.3</v>
      </c>
      <c r="K29" s="163"/>
      <c r="L29" s="163">
        <v>24.78</v>
      </c>
      <c r="M29" s="164"/>
      <c r="N29" s="165">
        <v>55574960.76</v>
      </c>
      <c r="O29" s="165"/>
      <c r="P29" s="165">
        <v>67410379.08</v>
      </c>
      <c r="Q29" s="165"/>
      <c r="R29" s="165">
        <v>148407884</v>
      </c>
      <c r="S29" s="165"/>
      <c r="T29" s="165">
        <v>148407884</v>
      </c>
      <c r="U29" s="165"/>
      <c r="V29" s="165">
        <v>0</v>
      </c>
      <c r="W29" s="165"/>
      <c r="X29" s="165">
        <v>0</v>
      </c>
      <c r="Y29" s="148"/>
      <c r="AA29" s="154"/>
    </row>
    <row r="30" spans="1:27" ht="18" customHeight="1">
      <c r="A30" s="150">
        <v>19</v>
      </c>
      <c r="B30" s="150" t="s">
        <v>439</v>
      </c>
      <c r="C30" s="152" t="s">
        <v>583</v>
      </c>
      <c r="D30" s="152" t="s">
        <v>584</v>
      </c>
      <c r="E30" s="150" t="s">
        <v>182</v>
      </c>
      <c r="F30" s="166">
        <v>20000</v>
      </c>
      <c r="G30" s="166"/>
      <c r="H30" s="166">
        <v>20000</v>
      </c>
      <c r="I30" s="166"/>
      <c r="J30" s="163">
        <v>33.52</v>
      </c>
      <c r="K30" s="163"/>
      <c r="L30" s="163">
        <v>33.52</v>
      </c>
      <c r="M30" s="164"/>
      <c r="N30" s="165">
        <v>54578477.73</v>
      </c>
      <c r="O30" s="167"/>
      <c r="P30" s="165">
        <v>60622357.419999994</v>
      </c>
      <c r="Q30" s="167"/>
      <c r="R30" s="165">
        <v>6704000</v>
      </c>
      <c r="S30" s="165"/>
      <c r="T30" s="165">
        <v>6704000</v>
      </c>
      <c r="U30" s="165"/>
      <c r="V30" s="165">
        <f>335200</f>
        <v>335200</v>
      </c>
      <c r="W30" s="165"/>
      <c r="X30" s="165">
        <v>335200</v>
      </c>
      <c r="Y30" s="148"/>
      <c r="AA30" s="154"/>
    </row>
    <row r="31" spans="1:27" ht="18" customHeight="1">
      <c r="A31" s="150">
        <v>20</v>
      </c>
      <c r="B31" s="150" t="s">
        <v>439</v>
      </c>
      <c r="C31" s="152" t="s">
        <v>1282</v>
      </c>
      <c r="D31" s="152" t="s">
        <v>586</v>
      </c>
      <c r="E31" s="150" t="s">
        <v>233</v>
      </c>
      <c r="F31" s="166">
        <v>20000</v>
      </c>
      <c r="G31" s="166"/>
      <c r="H31" s="166">
        <v>20000</v>
      </c>
      <c r="I31" s="166"/>
      <c r="J31" s="163">
        <v>40</v>
      </c>
      <c r="K31" s="163"/>
      <c r="L31" s="163">
        <v>40</v>
      </c>
      <c r="M31" s="164"/>
      <c r="N31" s="165">
        <v>27150305.85</v>
      </c>
      <c r="O31" s="165"/>
      <c r="P31" s="165">
        <v>25246647.610000003</v>
      </c>
      <c r="Q31" s="165"/>
      <c r="R31" s="165">
        <v>10000000</v>
      </c>
      <c r="S31" s="165"/>
      <c r="T31" s="165">
        <v>10000000</v>
      </c>
      <c r="U31" s="165"/>
      <c r="V31" s="165">
        <v>800000</v>
      </c>
      <c r="W31" s="165"/>
      <c r="X31" s="165">
        <v>800000</v>
      </c>
      <c r="Y31" s="148"/>
      <c r="AA31" s="154"/>
    </row>
    <row r="32" spans="1:27" ht="18" customHeight="1">
      <c r="A32" s="150">
        <v>21</v>
      </c>
      <c r="B32" s="150" t="s">
        <v>439</v>
      </c>
      <c r="C32" s="152" t="s">
        <v>753</v>
      </c>
      <c r="D32" s="152" t="s">
        <v>598</v>
      </c>
      <c r="E32" s="150" t="s">
        <v>233</v>
      </c>
      <c r="F32" s="166">
        <v>20000</v>
      </c>
      <c r="G32" s="166"/>
      <c r="H32" s="166">
        <v>20000</v>
      </c>
      <c r="I32" s="166"/>
      <c r="J32" s="163">
        <v>23.5</v>
      </c>
      <c r="K32" s="163"/>
      <c r="L32" s="163">
        <v>23.5</v>
      </c>
      <c r="M32" s="164"/>
      <c r="N32" s="165">
        <v>18659828.17</v>
      </c>
      <c r="O32" s="165"/>
      <c r="P32" s="165">
        <v>22767200.11</v>
      </c>
      <c r="Q32" s="165"/>
      <c r="R32" s="165">
        <v>17285646.740000002</v>
      </c>
      <c r="S32" s="165"/>
      <c r="T32" s="165">
        <v>17285646.740000002</v>
      </c>
      <c r="U32" s="165"/>
      <c r="V32" s="165">
        <v>0</v>
      </c>
      <c r="W32" s="165"/>
      <c r="X32" s="165">
        <v>940000</v>
      </c>
      <c r="Y32" s="148"/>
      <c r="AA32" s="154"/>
    </row>
    <row r="33" spans="1:27" ht="18" customHeight="1">
      <c r="A33" s="150">
        <v>22</v>
      </c>
      <c r="B33" s="150" t="s">
        <v>439</v>
      </c>
      <c r="C33" s="152" t="s">
        <v>585</v>
      </c>
      <c r="D33" s="152" t="s">
        <v>227</v>
      </c>
      <c r="E33" s="150" t="s">
        <v>741</v>
      </c>
      <c r="F33" s="166">
        <v>111250</v>
      </c>
      <c r="G33" s="166"/>
      <c r="H33" s="166">
        <v>111250</v>
      </c>
      <c r="I33" s="166"/>
      <c r="J33" s="163">
        <v>32.11</v>
      </c>
      <c r="K33" s="163"/>
      <c r="L33" s="163">
        <v>32.11</v>
      </c>
      <c r="M33" s="164"/>
      <c r="N33" s="1121">
        <v>12353023.27</v>
      </c>
      <c r="O33" s="165"/>
      <c r="P33" s="1121">
        <v>12353023.27</v>
      </c>
      <c r="Q33" s="165"/>
      <c r="R33" s="165">
        <v>58152029.69</v>
      </c>
      <c r="S33" s="165"/>
      <c r="T33" s="165">
        <v>58152029.69</v>
      </c>
      <c r="U33" s="165"/>
      <c r="V33" s="165">
        <v>0</v>
      </c>
      <c r="W33" s="165"/>
      <c r="X33" s="165">
        <v>0</v>
      </c>
      <c r="Y33" s="148"/>
      <c r="AA33" s="154"/>
    </row>
    <row r="34" spans="1:27" ht="18" customHeight="1">
      <c r="A34" s="150">
        <v>23</v>
      </c>
      <c r="B34" s="150" t="s">
        <v>439</v>
      </c>
      <c r="C34" s="152" t="s">
        <v>378</v>
      </c>
      <c r="D34" s="152" t="s">
        <v>379</v>
      </c>
      <c r="E34" s="150" t="s">
        <v>233</v>
      </c>
      <c r="F34" s="166">
        <v>10000</v>
      </c>
      <c r="G34" s="166"/>
      <c r="H34" s="166">
        <v>10000</v>
      </c>
      <c r="I34" s="166"/>
      <c r="J34" s="163">
        <v>30</v>
      </c>
      <c r="K34" s="163"/>
      <c r="L34" s="163">
        <v>30</v>
      </c>
      <c r="M34" s="165"/>
      <c r="N34" s="165">
        <v>8961259.47</v>
      </c>
      <c r="O34" s="165"/>
      <c r="P34" s="165">
        <v>10702689.37</v>
      </c>
      <c r="Q34" s="165"/>
      <c r="R34" s="165">
        <v>11049900</v>
      </c>
      <c r="S34" s="165"/>
      <c r="T34" s="165">
        <v>11049900</v>
      </c>
      <c r="U34" s="165"/>
      <c r="V34" s="165">
        <v>1200000</v>
      </c>
      <c r="W34" s="165"/>
      <c r="X34" s="165">
        <v>1200000</v>
      </c>
      <c r="Y34" s="148"/>
      <c r="AA34" s="154"/>
    </row>
    <row r="35" spans="1:27" ht="18" customHeight="1">
      <c r="A35" s="150">
        <v>24</v>
      </c>
      <c r="B35" s="150" t="s">
        <v>439</v>
      </c>
      <c r="C35" s="152" t="s">
        <v>591</v>
      </c>
      <c r="D35" s="152" t="s">
        <v>231</v>
      </c>
      <c r="E35" s="150" t="s">
        <v>178</v>
      </c>
      <c r="F35" s="166">
        <v>20000</v>
      </c>
      <c r="G35" s="166"/>
      <c r="H35" s="166">
        <v>20000</v>
      </c>
      <c r="I35" s="166"/>
      <c r="J35" s="163">
        <v>26.25</v>
      </c>
      <c r="K35" s="163"/>
      <c r="L35" s="163">
        <v>26.25</v>
      </c>
      <c r="M35" s="164"/>
      <c r="N35" s="165">
        <v>0</v>
      </c>
      <c r="O35" s="165"/>
      <c r="P35" s="165">
        <v>0</v>
      </c>
      <c r="Q35" s="165"/>
      <c r="R35" s="165">
        <v>5250000</v>
      </c>
      <c r="S35" s="165"/>
      <c r="T35" s="165">
        <v>5250000</v>
      </c>
      <c r="U35" s="165"/>
      <c r="V35" s="165">
        <v>210000</v>
      </c>
      <c r="W35" s="165"/>
      <c r="X35" s="165">
        <v>525000</v>
      </c>
      <c r="Y35" s="148"/>
      <c r="AA35" s="154"/>
    </row>
    <row r="36" spans="1:27" ht="18" customHeight="1">
      <c r="A36" s="150">
        <v>25</v>
      </c>
      <c r="B36" s="150" t="s">
        <v>439</v>
      </c>
      <c r="C36" s="152" t="s">
        <v>752</v>
      </c>
      <c r="D36" s="152" t="s">
        <v>593</v>
      </c>
      <c r="E36" s="150" t="s">
        <v>182</v>
      </c>
      <c r="F36" s="163">
        <v>0</v>
      </c>
      <c r="G36" s="166"/>
      <c r="H36" s="166">
        <v>142000</v>
      </c>
      <c r="I36" s="166"/>
      <c r="J36" s="163">
        <v>0</v>
      </c>
      <c r="K36" s="163"/>
      <c r="L36" s="163">
        <v>23.75</v>
      </c>
      <c r="M36" s="164"/>
      <c r="N36" s="165">
        <v>0</v>
      </c>
      <c r="O36" s="165"/>
      <c r="P36" s="165">
        <v>50809940.98</v>
      </c>
      <c r="Q36" s="165"/>
      <c r="R36" s="165">
        <v>0</v>
      </c>
      <c r="S36" s="165"/>
      <c r="T36" s="165">
        <v>33725000</v>
      </c>
      <c r="U36" s="165"/>
      <c r="V36" s="165">
        <v>505875</v>
      </c>
      <c r="W36" s="165"/>
      <c r="X36" s="165">
        <v>505875</v>
      </c>
      <c r="Y36" s="148"/>
      <c r="AA36" s="154"/>
    </row>
    <row r="37" spans="1:27" ht="18" customHeight="1">
      <c r="A37" s="150">
        <v>26</v>
      </c>
      <c r="B37" s="150"/>
      <c r="C37" s="152" t="s">
        <v>1283</v>
      </c>
      <c r="D37" s="152" t="s">
        <v>196</v>
      </c>
      <c r="E37" s="150" t="s">
        <v>181</v>
      </c>
      <c r="F37" s="163">
        <v>0</v>
      </c>
      <c r="G37" s="166"/>
      <c r="H37" s="166" t="s">
        <v>542</v>
      </c>
      <c r="I37" s="166"/>
      <c r="J37" s="163">
        <v>0</v>
      </c>
      <c r="K37" s="163"/>
      <c r="L37" s="163">
        <v>20</v>
      </c>
      <c r="M37" s="165"/>
      <c r="N37" s="165">
        <v>0</v>
      </c>
      <c r="O37" s="165"/>
      <c r="P37" s="165">
        <v>6894743.58</v>
      </c>
      <c r="Q37" s="165"/>
      <c r="R37" s="165">
        <v>0</v>
      </c>
      <c r="S37" s="165"/>
      <c r="T37" s="165">
        <v>3236800</v>
      </c>
      <c r="U37" s="165"/>
      <c r="V37" s="165">
        <v>0</v>
      </c>
      <c r="W37" s="165"/>
      <c r="X37" s="165">
        <v>0</v>
      </c>
      <c r="Y37" s="148"/>
      <c r="AA37" s="154"/>
    </row>
    <row r="38" spans="1:27" ht="18" customHeight="1">
      <c r="A38" s="150">
        <v>27</v>
      </c>
      <c r="B38" s="150" t="s">
        <v>439</v>
      </c>
      <c r="C38" s="152" t="s">
        <v>596</v>
      </c>
      <c r="D38" s="152" t="s">
        <v>227</v>
      </c>
      <c r="E38" s="150" t="s">
        <v>179</v>
      </c>
      <c r="F38" s="1121">
        <v>0</v>
      </c>
      <c r="G38" s="166"/>
      <c r="H38" s="166">
        <v>36000</v>
      </c>
      <c r="I38" s="166"/>
      <c r="J38" s="163">
        <v>0</v>
      </c>
      <c r="K38" s="163"/>
      <c r="L38" s="163">
        <v>20</v>
      </c>
      <c r="M38" s="164"/>
      <c r="N38" s="165">
        <v>0</v>
      </c>
      <c r="O38" s="165"/>
      <c r="P38" s="165">
        <v>3214412.5199999996</v>
      </c>
      <c r="Q38" s="165"/>
      <c r="R38" s="165">
        <v>0</v>
      </c>
      <c r="S38" s="165"/>
      <c r="T38" s="165">
        <v>7200000</v>
      </c>
      <c r="U38" s="165"/>
      <c r="V38" s="165">
        <v>0</v>
      </c>
      <c r="W38" s="165"/>
      <c r="X38" s="165">
        <v>0</v>
      </c>
      <c r="Y38" s="148"/>
      <c r="AA38" s="154"/>
    </row>
    <row r="39" spans="1:27" ht="18" customHeight="1">
      <c r="A39" s="150">
        <v>28</v>
      </c>
      <c r="B39" s="150" t="s">
        <v>439</v>
      </c>
      <c r="C39" s="152" t="s">
        <v>594</v>
      </c>
      <c r="D39" s="152" t="s">
        <v>227</v>
      </c>
      <c r="E39" s="150" t="s">
        <v>178</v>
      </c>
      <c r="F39" s="1121">
        <v>0</v>
      </c>
      <c r="G39" s="166"/>
      <c r="H39" s="166">
        <v>40000</v>
      </c>
      <c r="I39" s="166"/>
      <c r="J39" s="163">
        <v>0</v>
      </c>
      <c r="K39" s="163"/>
      <c r="L39" s="163">
        <v>22.5</v>
      </c>
      <c r="M39" s="164"/>
      <c r="N39" s="165">
        <v>0</v>
      </c>
      <c r="O39" s="165"/>
      <c r="P39" s="165">
        <v>25579016.87</v>
      </c>
      <c r="Q39" s="165"/>
      <c r="R39" s="165">
        <v>0</v>
      </c>
      <c r="S39" s="165"/>
      <c r="T39" s="165">
        <v>9000000</v>
      </c>
      <c r="U39" s="165"/>
      <c r="V39" s="165">
        <v>0</v>
      </c>
      <c r="W39" s="165"/>
      <c r="X39" s="165">
        <v>0</v>
      </c>
      <c r="Y39" s="148"/>
      <c r="AA39" s="154"/>
    </row>
    <row r="40" spans="1:27" ht="18" customHeight="1">
      <c r="A40" s="150">
        <v>29</v>
      </c>
      <c r="B40" s="150" t="s">
        <v>439</v>
      </c>
      <c r="C40" s="152" t="s">
        <v>854</v>
      </c>
      <c r="D40" s="152" t="s">
        <v>595</v>
      </c>
      <c r="E40" s="150" t="s">
        <v>178</v>
      </c>
      <c r="F40" s="609">
        <v>0</v>
      </c>
      <c r="G40" s="166"/>
      <c r="H40" s="636">
        <v>0</v>
      </c>
      <c r="I40" s="166"/>
      <c r="J40" s="163">
        <v>0</v>
      </c>
      <c r="K40" s="163"/>
      <c r="L40" s="163">
        <v>0</v>
      </c>
      <c r="M40" s="164"/>
      <c r="N40" s="165">
        <v>0</v>
      </c>
      <c r="O40" s="165"/>
      <c r="P40" s="165">
        <v>0</v>
      </c>
      <c r="Q40" s="165"/>
      <c r="R40" s="165">
        <v>0</v>
      </c>
      <c r="S40" s="165"/>
      <c r="T40" s="165">
        <v>0</v>
      </c>
      <c r="U40" s="165"/>
      <c r="V40" s="165">
        <v>0</v>
      </c>
      <c r="W40" s="165"/>
      <c r="X40" s="165">
        <v>372960</v>
      </c>
      <c r="Y40" s="148"/>
      <c r="AA40" s="154"/>
    </row>
    <row r="41" spans="2:25" ht="18" customHeight="1">
      <c r="B41" s="151"/>
      <c r="C41" s="151" t="s">
        <v>212</v>
      </c>
      <c r="E41" s="147"/>
      <c r="L41" s="168"/>
      <c r="M41" s="168"/>
      <c r="N41" s="169">
        <f>SUM(N12:N40)</f>
        <v>25201346995.37</v>
      </c>
      <c r="O41" s="168"/>
      <c r="P41" s="169">
        <f>SUM(P12:P40)</f>
        <v>15138479329.453203</v>
      </c>
      <c r="Q41" s="168"/>
      <c r="R41" s="169">
        <f>SUM(R12:R40)</f>
        <v>11181189603.57</v>
      </c>
      <c r="S41" s="168"/>
      <c r="T41" s="169">
        <f>SUM(T12:T40)</f>
        <v>2296751207.11</v>
      </c>
      <c r="U41" s="168"/>
      <c r="V41" s="169">
        <f>SUM(V12:V40)</f>
        <v>782555291.9</v>
      </c>
      <c r="W41" s="168"/>
      <c r="X41" s="169">
        <f>SUM(X12:X40)</f>
        <v>509315600.3</v>
      </c>
      <c r="Y41" s="148"/>
    </row>
    <row r="42" spans="2:25" ht="18" customHeight="1">
      <c r="B42" s="170" t="s">
        <v>367</v>
      </c>
      <c r="E42" s="147"/>
      <c r="N42" s="171">
        <f>-12353023.27</f>
        <v>-12353023.27</v>
      </c>
      <c r="O42" s="171"/>
      <c r="P42" s="172">
        <v>0</v>
      </c>
      <c r="Q42" s="171"/>
      <c r="R42" s="171">
        <f>-124378418.07-17140330.49</f>
        <v>-141518748.56</v>
      </c>
      <c r="S42" s="171"/>
      <c r="T42" s="171">
        <v>-93659929.16</v>
      </c>
      <c r="U42" s="171"/>
      <c r="V42" s="168">
        <v>0</v>
      </c>
      <c r="W42" s="168"/>
      <c r="X42" s="168">
        <v>0</v>
      </c>
      <c r="Y42" s="148"/>
    </row>
    <row r="43" spans="2:26" ht="18" customHeight="1" thickBot="1">
      <c r="B43" s="151" t="s">
        <v>599</v>
      </c>
      <c r="E43" s="147"/>
      <c r="N43" s="173">
        <f>SUM(N41:N42)</f>
        <v>25188993972.1</v>
      </c>
      <c r="O43" s="168"/>
      <c r="P43" s="173">
        <f>SUM(P41:P42)</f>
        <v>15138479329.453203</v>
      </c>
      <c r="Q43" s="168"/>
      <c r="R43" s="173">
        <f>SUM(R41:R42)</f>
        <v>11039670855.01</v>
      </c>
      <c r="S43" s="168"/>
      <c r="T43" s="173">
        <f>SUM(T41:T42)</f>
        <v>2203091277.9500003</v>
      </c>
      <c r="U43" s="168"/>
      <c r="V43" s="173">
        <f>SUM(V41:V42)</f>
        <v>782555291.9</v>
      </c>
      <c r="W43" s="168"/>
      <c r="X43" s="173">
        <f>SUM(X41:X42)</f>
        <v>509315600.3</v>
      </c>
      <c r="Y43" s="148"/>
      <c r="Z43" s="174"/>
    </row>
    <row r="44" spans="2:26" ht="11.25" customHeight="1" thickTop="1">
      <c r="B44" s="151"/>
      <c r="E44" s="147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48"/>
      <c r="Z44" s="174"/>
    </row>
    <row r="45" spans="2:26" ht="10.5" customHeight="1">
      <c r="B45" s="151"/>
      <c r="E45" s="147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48"/>
      <c r="Z45" s="174"/>
    </row>
    <row r="46" spans="1:25" ht="17.25">
      <c r="A46" s="176"/>
      <c r="B46" s="176"/>
      <c r="C46" s="176"/>
      <c r="D46" s="176"/>
      <c r="E46" s="175" t="s">
        <v>1840</v>
      </c>
      <c r="I46" s="149"/>
      <c r="O46" s="176"/>
      <c r="P46" s="177"/>
      <c r="Q46" s="176"/>
      <c r="R46" s="177"/>
      <c r="S46" s="168"/>
      <c r="T46" s="168"/>
      <c r="U46" s="168"/>
      <c r="V46" s="168"/>
      <c r="W46" s="168"/>
      <c r="X46" s="168"/>
      <c r="Y46" s="148"/>
    </row>
    <row r="47" spans="1:24" ht="17.25">
      <c r="A47" s="176"/>
      <c r="B47" s="176"/>
      <c r="C47" s="176"/>
      <c r="D47" s="610"/>
      <c r="E47" s="610"/>
      <c r="F47" s="610"/>
      <c r="G47" s="610"/>
      <c r="H47" s="610"/>
      <c r="I47" s="610"/>
      <c r="J47" s="610"/>
      <c r="K47" s="610"/>
      <c r="L47" s="610"/>
      <c r="M47" s="610"/>
      <c r="N47" s="610"/>
      <c r="O47" s="611"/>
      <c r="P47" s="612"/>
      <c r="R47" s="168"/>
      <c r="S47" s="168"/>
      <c r="T47" s="168"/>
      <c r="U47" s="168"/>
      <c r="V47" s="168"/>
      <c r="W47" s="168"/>
      <c r="X47" s="148"/>
    </row>
    <row r="48" spans="2:5" ht="18" customHeight="1">
      <c r="B48" s="176"/>
      <c r="E48" s="147"/>
    </row>
    <row r="49" ht="18" customHeight="1">
      <c r="E49" s="147"/>
    </row>
    <row r="50" spans="5:16" ht="18" customHeight="1">
      <c r="E50" s="147"/>
      <c r="P50" s="154"/>
    </row>
    <row r="51" ht="18" customHeight="1">
      <c r="E51" s="147"/>
    </row>
    <row r="52" ht="18" customHeight="1">
      <c r="E52" s="147"/>
    </row>
    <row r="53" ht="18" customHeight="1">
      <c r="E53" s="147"/>
    </row>
    <row r="54" ht="18" customHeight="1">
      <c r="E54" s="147"/>
    </row>
    <row r="55" ht="18" customHeight="1">
      <c r="E55" s="147"/>
    </row>
    <row r="56" ht="18" customHeight="1">
      <c r="E56" s="147"/>
    </row>
    <row r="57" ht="18" customHeight="1">
      <c r="E57" s="147"/>
    </row>
    <row r="58" ht="18" customHeight="1">
      <c r="E58" s="147"/>
    </row>
    <row r="59" ht="18" customHeight="1">
      <c r="E59" s="147"/>
    </row>
    <row r="60" ht="18" customHeight="1">
      <c r="E60" s="147"/>
    </row>
    <row r="61" ht="18" customHeight="1">
      <c r="E61" s="147"/>
    </row>
    <row r="62" ht="18" customHeight="1">
      <c r="E62" s="147"/>
    </row>
    <row r="63" ht="18" customHeight="1">
      <c r="E63" s="147"/>
    </row>
    <row r="64" ht="18" customHeight="1">
      <c r="E64" s="147"/>
    </row>
    <row r="65" ht="18" customHeight="1">
      <c r="E65" s="147"/>
    </row>
    <row r="66" ht="18" customHeight="1">
      <c r="E66" s="147"/>
    </row>
    <row r="67" ht="18" customHeight="1">
      <c r="E67" s="147"/>
    </row>
    <row r="68" ht="18" customHeight="1">
      <c r="E68" s="147"/>
    </row>
    <row r="69" ht="18" customHeight="1">
      <c r="E69" s="147"/>
    </row>
    <row r="70" ht="18" customHeight="1">
      <c r="E70" s="147"/>
    </row>
    <row r="71" ht="18" customHeight="1">
      <c r="E71" s="147"/>
    </row>
    <row r="72" ht="18" customHeight="1">
      <c r="E72" s="147"/>
    </row>
    <row r="73" ht="18" customHeight="1">
      <c r="E73" s="147"/>
    </row>
    <row r="74" ht="18" customHeight="1">
      <c r="E74" s="147"/>
    </row>
    <row r="75" ht="18" customHeight="1">
      <c r="E75" s="147"/>
    </row>
    <row r="76" ht="9" customHeight="1">
      <c r="E76" s="147"/>
    </row>
    <row r="77" ht="18" customHeight="1">
      <c r="E77" s="147"/>
    </row>
    <row r="78" ht="18" customHeight="1">
      <c r="E78" s="147"/>
    </row>
    <row r="79" ht="18" customHeight="1">
      <c r="E79" s="147"/>
    </row>
    <row r="80" ht="18" customHeight="1">
      <c r="E80" s="147"/>
    </row>
    <row r="81" ht="18" customHeight="1">
      <c r="E81" s="147"/>
    </row>
    <row r="82" ht="18" customHeight="1">
      <c r="E82" s="147"/>
    </row>
    <row r="83" ht="18" customHeight="1">
      <c r="E83" s="147"/>
    </row>
    <row r="84" ht="18" customHeight="1">
      <c r="E84" s="147"/>
    </row>
    <row r="85" ht="18" customHeight="1">
      <c r="E85" s="147"/>
    </row>
    <row r="86" ht="18" customHeight="1">
      <c r="E86" s="147"/>
    </row>
    <row r="87" ht="18" customHeight="1">
      <c r="E87" s="147"/>
    </row>
    <row r="88" ht="18" customHeight="1">
      <c r="E88" s="147"/>
    </row>
    <row r="89" ht="18" customHeight="1">
      <c r="E89" s="147"/>
    </row>
    <row r="90" ht="18" customHeight="1">
      <c r="E90" s="147"/>
    </row>
    <row r="91" ht="18" customHeight="1">
      <c r="E91" s="147"/>
    </row>
    <row r="92" ht="18" customHeight="1">
      <c r="E92" s="147"/>
    </row>
    <row r="93" ht="18" customHeight="1">
      <c r="E93" s="147"/>
    </row>
    <row r="94" ht="18" customHeight="1">
      <c r="E94" s="147"/>
    </row>
    <row r="95" ht="18" customHeight="1">
      <c r="E95" s="147"/>
    </row>
    <row r="96" ht="18" customHeight="1">
      <c r="E96" s="147"/>
    </row>
    <row r="97" ht="18" customHeight="1">
      <c r="E97" s="147"/>
    </row>
    <row r="98" ht="18" customHeight="1">
      <c r="E98" s="147"/>
    </row>
    <row r="99" ht="18" customHeight="1">
      <c r="E99" s="147"/>
    </row>
    <row r="100" ht="18" customHeight="1">
      <c r="E100" s="147"/>
    </row>
    <row r="101" ht="18" customHeight="1">
      <c r="E101" s="147"/>
    </row>
    <row r="102" ht="18" customHeight="1">
      <c r="E102" s="147"/>
    </row>
    <row r="103" ht="18" customHeight="1">
      <c r="E103" s="147"/>
    </row>
    <row r="104" ht="18" customHeight="1">
      <c r="E104" s="147"/>
    </row>
    <row r="105" ht="18" customHeight="1">
      <c r="E105" s="147"/>
    </row>
    <row r="106" ht="18" customHeight="1">
      <c r="E106" s="147"/>
    </row>
    <row r="107" ht="18" customHeight="1">
      <c r="E107" s="147"/>
    </row>
    <row r="108" ht="18" customHeight="1">
      <c r="E108" s="147"/>
    </row>
    <row r="109" ht="18" customHeight="1">
      <c r="E109" s="147"/>
    </row>
    <row r="110" ht="18" customHeight="1">
      <c r="E110" s="147"/>
    </row>
    <row r="111" ht="18" customHeight="1">
      <c r="E111" s="147"/>
    </row>
    <row r="112" ht="18" customHeight="1">
      <c r="E112" s="147"/>
    </row>
    <row r="113" ht="18" customHeight="1">
      <c r="E113" s="147"/>
    </row>
    <row r="114" ht="18" customHeight="1">
      <c r="E114" s="147"/>
    </row>
    <row r="115" ht="18" customHeight="1">
      <c r="E115" s="147"/>
    </row>
    <row r="116" ht="18" customHeight="1">
      <c r="E116" s="147"/>
    </row>
    <row r="117" ht="18" customHeight="1">
      <c r="E117" s="147"/>
    </row>
    <row r="118" ht="18" customHeight="1">
      <c r="E118" s="147"/>
    </row>
    <row r="119" ht="18" customHeight="1">
      <c r="E119" s="147"/>
    </row>
    <row r="120" ht="18" customHeight="1">
      <c r="E120" s="147"/>
    </row>
    <row r="121" ht="18" customHeight="1">
      <c r="E121" s="147"/>
    </row>
    <row r="122" ht="18" customHeight="1">
      <c r="E122" s="147"/>
    </row>
    <row r="123" ht="18" customHeight="1">
      <c r="E123" s="147"/>
    </row>
    <row r="124" ht="18" customHeight="1">
      <c r="E124" s="147"/>
    </row>
    <row r="125" ht="18" customHeight="1">
      <c r="E125" s="147"/>
    </row>
    <row r="126" ht="18" customHeight="1">
      <c r="E126" s="147"/>
    </row>
  </sheetData>
  <sheetProtection/>
  <mergeCells count="2">
    <mergeCell ref="F7:H7"/>
    <mergeCell ref="J7:L7"/>
  </mergeCells>
  <printOptions verticalCentered="1"/>
  <pageMargins left="0.3937007874015748" right="0.1968503937007874" top="0.1968503937007874" bottom="0" header="0.15748031496062992" footer="0.11811023622047245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9"/>
  <sheetViews>
    <sheetView zoomScaleSheetLayoutView="100" workbookViewId="0" topLeftCell="A1">
      <selection activeCell="A1" sqref="A1"/>
    </sheetView>
  </sheetViews>
  <sheetFormatPr defaultColWidth="10.421875" defaultRowHeight="29.25" customHeight="1"/>
  <cols>
    <col min="1" max="1" width="6.140625" style="20" customWidth="1"/>
    <col min="2" max="2" width="14.7109375" style="20" customWidth="1"/>
    <col min="3" max="3" width="11.421875" style="20" customWidth="1"/>
    <col min="4" max="4" width="11.28125" style="20" customWidth="1"/>
    <col min="5" max="5" width="11.140625" style="20" bestFit="1" customWidth="1"/>
    <col min="6" max="6" width="11.421875" style="20" customWidth="1"/>
    <col min="7" max="7" width="22.28125" style="20" customWidth="1"/>
    <col min="8" max="8" width="2.00390625" style="20" customWidth="1"/>
    <col min="9" max="9" width="22.57421875" style="20" customWidth="1"/>
    <col min="10" max="11" width="2.421875" style="20" customWidth="1"/>
    <col min="12" max="13" width="10.421875" style="20" customWidth="1"/>
    <col min="14" max="14" width="14.140625" style="20" bestFit="1" customWidth="1"/>
    <col min="15" max="16384" width="10.421875" style="20" customWidth="1"/>
  </cols>
  <sheetData>
    <row r="1" spans="1:9" ht="29.25" customHeight="1">
      <c r="A1" s="613" t="s">
        <v>1625</v>
      </c>
      <c r="B1" s="613"/>
      <c r="C1" s="613"/>
      <c r="D1" s="613"/>
      <c r="E1" s="613"/>
      <c r="F1" s="613"/>
      <c r="G1" s="613"/>
      <c r="H1" s="613"/>
      <c r="I1" s="613"/>
    </row>
    <row r="2" spans="1:9" ht="19.5" customHeight="1">
      <c r="A2" s="82"/>
      <c r="B2" s="82"/>
      <c r="C2" s="82"/>
      <c r="D2" s="82"/>
      <c r="E2" s="82"/>
      <c r="F2" s="82"/>
      <c r="G2" s="82"/>
      <c r="H2" s="82"/>
      <c r="I2" s="82"/>
    </row>
    <row r="3" spans="1:9" ht="29.25" customHeight="1">
      <c r="A3" s="84" t="s">
        <v>1214</v>
      </c>
      <c r="B3" s="52"/>
      <c r="C3" s="52"/>
      <c r="D3" s="52"/>
      <c r="E3" s="52"/>
      <c r="F3" s="52"/>
      <c r="G3" s="52"/>
      <c r="H3" s="52"/>
      <c r="I3" s="52"/>
    </row>
    <row r="4" s="342" customFormat="1" ht="28.5" customHeight="1">
      <c r="A4" s="342" t="s">
        <v>1849</v>
      </c>
    </row>
    <row r="5" s="342" customFormat="1" ht="28.5" customHeight="1">
      <c r="B5" s="343" t="s">
        <v>743</v>
      </c>
    </row>
    <row r="6" s="342" customFormat="1" ht="28.5" customHeight="1">
      <c r="B6" s="342" t="s">
        <v>1821</v>
      </c>
    </row>
    <row r="7" spans="1:2" s="342" customFormat="1" ht="28.5" customHeight="1">
      <c r="A7" s="342" t="s">
        <v>661</v>
      </c>
      <c r="B7" s="342" t="s">
        <v>1841</v>
      </c>
    </row>
    <row r="8" s="342" customFormat="1" ht="28.5" customHeight="1">
      <c r="B8" s="342" t="s">
        <v>1900</v>
      </c>
    </row>
    <row r="9" s="342" customFormat="1" ht="28.5" customHeight="1">
      <c r="B9" s="342" t="s">
        <v>884</v>
      </c>
    </row>
    <row r="10" s="342" customFormat="1" ht="28.5" customHeight="1">
      <c r="B10" s="342" t="s">
        <v>1822</v>
      </c>
    </row>
    <row r="11" spans="1:2" s="342" customFormat="1" ht="28.5" customHeight="1">
      <c r="A11" s="342" t="s">
        <v>661</v>
      </c>
      <c r="B11" s="342" t="s">
        <v>1876</v>
      </c>
    </row>
    <row r="12" s="342" customFormat="1" ht="28.5" customHeight="1">
      <c r="B12" s="342" t="s">
        <v>1878</v>
      </c>
    </row>
    <row r="13" s="342" customFormat="1" ht="28.5" customHeight="1">
      <c r="B13" s="342" t="s">
        <v>1877</v>
      </c>
    </row>
    <row r="14" s="342" customFormat="1" ht="28.5" customHeight="1">
      <c r="B14" s="343" t="s">
        <v>744</v>
      </c>
    </row>
    <row r="15" s="342" customFormat="1" ht="28.5" customHeight="1">
      <c r="B15" s="342" t="s">
        <v>1823</v>
      </c>
    </row>
    <row r="16" s="342" customFormat="1" ht="28.5" customHeight="1">
      <c r="B16" s="342" t="s">
        <v>1842</v>
      </c>
    </row>
    <row r="17" s="342" customFormat="1" ht="28.5" customHeight="1">
      <c r="B17" s="342" t="s">
        <v>1901</v>
      </c>
    </row>
    <row r="18" s="342" customFormat="1" ht="28.5" customHeight="1">
      <c r="B18" s="342" t="s">
        <v>1843</v>
      </c>
    </row>
    <row r="19" s="342" customFormat="1" ht="28.5" customHeight="1">
      <c r="B19" s="342" t="s">
        <v>1844</v>
      </c>
    </row>
    <row r="20" s="342" customFormat="1" ht="28.5" customHeight="1">
      <c r="B20" s="342" t="s">
        <v>1892</v>
      </c>
    </row>
    <row r="21" s="342" customFormat="1" ht="28.5" customHeight="1">
      <c r="B21" s="342" t="s">
        <v>1902</v>
      </c>
    </row>
    <row r="22" spans="2:13" s="342" customFormat="1" ht="28.5" customHeight="1">
      <c r="B22" s="342" t="s">
        <v>1903</v>
      </c>
      <c r="M22" s="344"/>
    </row>
    <row r="23" spans="2:13" s="342" customFormat="1" ht="28.5" customHeight="1">
      <c r="B23" s="342" t="s">
        <v>1904</v>
      </c>
      <c r="M23" s="344"/>
    </row>
    <row r="24" spans="2:13" s="342" customFormat="1" ht="28.5" customHeight="1">
      <c r="B24" s="342" t="s">
        <v>1845</v>
      </c>
      <c r="M24" s="344"/>
    </row>
    <row r="25" spans="2:13" s="342" customFormat="1" ht="28.5" customHeight="1">
      <c r="B25" s="342" t="s">
        <v>1893</v>
      </c>
      <c r="M25" s="344"/>
    </row>
    <row r="26" spans="2:13" s="342" customFormat="1" ht="28.5" customHeight="1">
      <c r="B26" s="342" t="s">
        <v>1905</v>
      </c>
      <c r="M26" s="344"/>
    </row>
    <row r="27" spans="2:13" s="342" customFormat="1" ht="28.5" customHeight="1">
      <c r="B27" s="342" t="s">
        <v>1846</v>
      </c>
      <c r="M27" s="344"/>
    </row>
    <row r="28" spans="2:13" s="342" customFormat="1" ht="28.5" customHeight="1">
      <c r="B28" s="342" t="s">
        <v>1848</v>
      </c>
      <c r="M28" s="344"/>
    </row>
    <row r="29" spans="2:13" s="342" customFormat="1" ht="28.5" customHeight="1">
      <c r="B29" s="342" t="s">
        <v>1847</v>
      </c>
      <c r="M29" s="344"/>
    </row>
    <row r="30" s="342" customFormat="1" ht="18.75" customHeight="1">
      <c r="M30" s="344"/>
    </row>
    <row r="31" spans="1:9" ht="29.25" customHeight="1">
      <c r="A31" s="84"/>
      <c r="B31" s="52"/>
      <c r="C31" s="52"/>
      <c r="D31" s="52"/>
      <c r="E31" s="52"/>
      <c r="F31" s="52"/>
      <c r="G31" s="52"/>
      <c r="H31" s="52"/>
      <c r="I31" s="52"/>
    </row>
    <row r="32" spans="1:256" s="22" customFormat="1" ht="29.25" customHeight="1">
      <c r="A32" s="385" t="s">
        <v>1179</v>
      </c>
      <c r="B32" s="308"/>
      <c r="C32" s="308"/>
      <c r="D32" s="308"/>
      <c r="E32" s="308"/>
      <c r="F32" s="309"/>
      <c r="G32" s="308"/>
      <c r="H32" s="637"/>
      <c r="I32" s="308"/>
      <c r="J32" s="308"/>
      <c r="K32" s="638"/>
      <c r="L32" s="638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37"/>
      <c r="AD32" s="437"/>
      <c r="AE32" s="437"/>
      <c r="AF32" s="437"/>
      <c r="AG32" s="437"/>
      <c r="AH32" s="437"/>
      <c r="AI32" s="437"/>
      <c r="AJ32" s="437"/>
      <c r="AK32" s="437"/>
      <c r="AL32" s="437"/>
      <c r="AM32" s="437"/>
      <c r="AN32" s="437"/>
      <c r="AO32" s="437"/>
      <c r="AP32" s="437"/>
      <c r="AQ32" s="437"/>
      <c r="AR32" s="437"/>
      <c r="AS32" s="437"/>
      <c r="AT32" s="437"/>
      <c r="AU32" s="437"/>
      <c r="AV32" s="437"/>
      <c r="AW32" s="437"/>
      <c r="AX32" s="437"/>
      <c r="AY32" s="437"/>
      <c r="AZ32" s="437"/>
      <c r="BA32" s="437"/>
      <c r="BB32" s="437"/>
      <c r="BC32" s="437"/>
      <c r="BD32" s="437"/>
      <c r="BE32" s="437"/>
      <c r="BF32" s="437"/>
      <c r="BG32" s="437"/>
      <c r="BH32" s="437"/>
      <c r="BI32" s="437"/>
      <c r="BJ32" s="437"/>
      <c r="BK32" s="437"/>
      <c r="BL32" s="437"/>
      <c r="BM32" s="437"/>
      <c r="BN32" s="437"/>
      <c r="BO32" s="437"/>
      <c r="BP32" s="437"/>
      <c r="BQ32" s="437"/>
      <c r="BR32" s="437"/>
      <c r="BS32" s="437"/>
      <c r="BT32" s="437"/>
      <c r="BU32" s="437"/>
      <c r="BV32" s="437"/>
      <c r="BW32" s="437"/>
      <c r="BX32" s="437"/>
      <c r="BY32" s="437"/>
      <c r="BZ32" s="437"/>
      <c r="CA32" s="437"/>
      <c r="CB32" s="437"/>
      <c r="CC32" s="437"/>
      <c r="CD32" s="437"/>
      <c r="CE32" s="437"/>
      <c r="CF32" s="437"/>
      <c r="CG32" s="437"/>
      <c r="CH32" s="437"/>
      <c r="CI32" s="437"/>
      <c r="CJ32" s="437"/>
      <c r="CK32" s="437"/>
      <c r="CL32" s="437"/>
      <c r="CM32" s="437"/>
      <c r="CN32" s="437"/>
      <c r="CO32" s="437"/>
      <c r="CP32" s="437"/>
      <c r="CQ32" s="437"/>
      <c r="CR32" s="437"/>
      <c r="CS32" s="437"/>
      <c r="CT32" s="437"/>
      <c r="CU32" s="437"/>
      <c r="CV32" s="437"/>
      <c r="CW32" s="437"/>
      <c r="CX32" s="437"/>
      <c r="CY32" s="437"/>
      <c r="CZ32" s="437"/>
      <c r="DA32" s="437"/>
      <c r="DB32" s="437"/>
      <c r="DC32" s="437"/>
      <c r="DD32" s="437"/>
      <c r="DE32" s="437"/>
      <c r="DF32" s="437"/>
      <c r="DG32" s="437"/>
      <c r="DH32" s="437"/>
      <c r="DI32" s="437"/>
      <c r="DJ32" s="437"/>
      <c r="DK32" s="437"/>
      <c r="DL32" s="437"/>
      <c r="DM32" s="437"/>
      <c r="DN32" s="437"/>
      <c r="DO32" s="437"/>
      <c r="DP32" s="437"/>
      <c r="DQ32" s="437"/>
      <c r="DR32" s="437"/>
      <c r="DS32" s="437"/>
      <c r="DT32" s="437"/>
      <c r="DU32" s="437"/>
      <c r="DV32" s="437"/>
      <c r="DW32" s="437"/>
      <c r="DX32" s="437"/>
      <c r="DY32" s="437"/>
      <c r="DZ32" s="437"/>
      <c r="EA32" s="437"/>
      <c r="EB32" s="437"/>
      <c r="EC32" s="437"/>
      <c r="ED32" s="437"/>
      <c r="EE32" s="437"/>
      <c r="EF32" s="437"/>
      <c r="EG32" s="437"/>
      <c r="EH32" s="437"/>
      <c r="EI32" s="437"/>
      <c r="EJ32" s="437"/>
      <c r="EK32" s="437"/>
      <c r="EL32" s="437"/>
      <c r="EM32" s="437"/>
      <c r="EN32" s="437"/>
      <c r="EO32" s="437"/>
      <c r="EP32" s="437"/>
      <c r="EQ32" s="437"/>
      <c r="ER32" s="437"/>
      <c r="ES32" s="437"/>
      <c r="ET32" s="437"/>
      <c r="EU32" s="437"/>
      <c r="EV32" s="437"/>
      <c r="EW32" s="437"/>
      <c r="EX32" s="437"/>
      <c r="EY32" s="437"/>
      <c r="EZ32" s="437"/>
      <c r="FA32" s="437"/>
      <c r="FB32" s="437"/>
      <c r="FC32" s="437"/>
      <c r="FD32" s="437"/>
      <c r="FE32" s="437"/>
      <c r="FF32" s="437"/>
      <c r="FG32" s="437"/>
      <c r="FH32" s="437"/>
      <c r="FI32" s="437"/>
      <c r="FJ32" s="437"/>
      <c r="FK32" s="437"/>
      <c r="FL32" s="437"/>
      <c r="FM32" s="437"/>
      <c r="FN32" s="437"/>
      <c r="FO32" s="437"/>
      <c r="FP32" s="437"/>
      <c r="FQ32" s="437"/>
      <c r="FR32" s="437"/>
      <c r="FS32" s="437"/>
      <c r="FT32" s="437"/>
      <c r="FU32" s="437"/>
      <c r="FV32" s="437"/>
      <c r="FW32" s="437"/>
      <c r="FX32" s="437"/>
      <c r="FY32" s="437"/>
      <c r="FZ32" s="437"/>
      <c r="GA32" s="437"/>
      <c r="GB32" s="437"/>
      <c r="GC32" s="437"/>
      <c r="GD32" s="437"/>
      <c r="GE32" s="437"/>
      <c r="GF32" s="437"/>
      <c r="GG32" s="437"/>
      <c r="GH32" s="437"/>
      <c r="GI32" s="437"/>
      <c r="GJ32" s="437"/>
      <c r="GK32" s="437"/>
      <c r="GL32" s="437"/>
      <c r="GM32" s="437"/>
      <c r="GN32" s="437"/>
      <c r="GO32" s="437"/>
      <c r="GP32" s="437"/>
      <c r="GQ32" s="437"/>
      <c r="GR32" s="437"/>
      <c r="GS32" s="437"/>
      <c r="GT32" s="437"/>
      <c r="GU32" s="437"/>
      <c r="GV32" s="437"/>
      <c r="GW32" s="437"/>
      <c r="GX32" s="437"/>
      <c r="GY32" s="437"/>
      <c r="GZ32" s="437"/>
      <c r="HA32" s="437"/>
      <c r="HB32" s="437"/>
      <c r="HC32" s="437"/>
      <c r="HD32" s="437"/>
      <c r="HE32" s="437"/>
      <c r="HF32" s="437"/>
      <c r="HG32" s="437"/>
      <c r="HH32" s="437"/>
      <c r="HI32" s="437"/>
      <c r="HJ32" s="437"/>
      <c r="HK32" s="437"/>
      <c r="HL32" s="437"/>
      <c r="HM32" s="437"/>
      <c r="HN32" s="437"/>
      <c r="HO32" s="437"/>
      <c r="HP32" s="437"/>
      <c r="HQ32" s="437"/>
      <c r="HR32" s="437"/>
      <c r="HS32" s="437"/>
      <c r="HT32" s="437"/>
      <c r="HU32" s="437"/>
      <c r="HV32" s="437"/>
      <c r="HW32" s="437"/>
      <c r="HX32" s="437"/>
      <c r="HY32" s="437"/>
      <c r="HZ32" s="437"/>
      <c r="IA32" s="437"/>
      <c r="IB32" s="437"/>
      <c r="IC32" s="437"/>
      <c r="ID32" s="437"/>
      <c r="IE32" s="437"/>
      <c r="IF32" s="437"/>
      <c r="IG32" s="437"/>
      <c r="IH32" s="437"/>
      <c r="II32" s="437"/>
      <c r="IJ32" s="437"/>
      <c r="IK32" s="437"/>
      <c r="IL32" s="437"/>
      <c r="IM32" s="437"/>
      <c r="IN32" s="437"/>
      <c r="IO32" s="437"/>
      <c r="IP32" s="437"/>
      <c r="IQ32" s="437"/>
      <c r="IR32" s="437"/>
      <c r="IS32" s="437"/>
      <c r="IT32" s="437"/>
      <c r="IU32" s="437"/>
      <c r="IV32" s="437"/>
    </row>
    <row r="33" spans="1:9" ht="29.25" customHeight="1">
      <c r="A33" s="613" t="s">
        <v>1626</v>
      </c>
      <c r="B33" s="613"/>
      <c r="C33" s="613"/>
      <c r="D33" s="613"/>
      <c r="E33" s="613"/>
      <c r="F33" s="613"/>
      <c r="G33" s="613"/>
      <c r="H33" s="613"/>
      <c r="I33" s="613"/>
    </row>
    <row r="34" spans="1:9" ht="29.25" customHeight="1">
      <c r="A34" s="82"/>
      <c r="B34" s="82"/>
      <c r="C34" s="82"/>
      <c r="D34" s="82"/>
      <c r="E34" s="82"/>
      <c r="F34" s="82"/>
      <c r="G34" s="82"/>
      <c r="H34" s="82"/>
      <c r="I34" s="82"/>
    </row>
    <row r="35" spans="1:9" ht="29.25" customHeight="1">
      <c r="A35" s="84" t="s">
        <v>1214</v>
      </c>
      <c r="B35" s="52"/>
      <c r="C35" s="52"/>
      <c r="D35" s="52"/>
      <c r="E35" s="52"/>
      <c r="F35" s="52"/>
      <c r="G35" s="52"/>
      <c r="H35" s="52"/>
      <c r="I35" s="52"/>
    </row>
    <row r="36" spans="1:9" s="22" customFormat="1" ht="29.25" customHeight="1">
      <c r="A36" s="19" t="s">
        <v>1215</v>
      </c>
      <c r="B36" s="19"/>
      <c r="C36" s="19"/>
      <c r="D36" s="19"/>
      <c r="E36" s="19"/>
      <c r="F36" s="19"/>
      <c r="G36" s="19"/>
      <c r="H36" s="19"/>
      <c r="I36" s="19"/>
    </row>
    <row r="37" spans="1:9" s="22" customFormat="1" ht="28.5" customHeight="1">
      <c r="A37" s="19"/>
      <c r="B37" s="19" t="s">
        <v>1285</v>
      </c>
      <c r="C37" s="19"/>
      <c r="D37" s="19"/>
      <c r="E37" s="19"/>
      <c r="F37" s="19"/>
      <c r="G37" s="19"/>
      <c r="H37" s="19"/>
      <c r="I37" s="19"/>
    </row>
    <row r="38" spans="1:9" s="22" customFormat="1" ht="28.5" customHeight="1">
      <c r="A38" s="19"/>
      <c r="B38" s="19" t="s">
        <v>1286</v>
      </c>
      <c r="C38" s="19"/>
      <c r="D38" s="19"/>
      <c r="E38" s="19"/>
      <c r="F38" s="19"/>
      <c r="G38" s="19"/>
      <c r="H38" s="19"/>
      <c r="I38" s="19"/>
    </row>
    <row r="39" spans="1:9" s="22" customFormat="1" ht="28.5" customHeight="1">
      <c r="A39" s="19"/>
      <c r="B39" s="19" t="s">
        <v>1287</v>
      </c>
      <c r="C39" s="19"/>
      <c r="D39" s="19"/>
      <c r="E39" s="19"/>
      <c r="F39" s="19"/>
      <c r="G39" s="19"/>
      <c r="H39" s="19"/>
      <c r="I39" s="19"/>
    </row>
    <row r="40" spans="1:9" s="22" customFormat="1" ht="28.5" customHeight="1">
      <c r="A40" s="19"/>
      <c r="B40" s="19" t="s">
        <v>1288</v>
      </c>
      <c r="C40" s="19"/>
      <c r="D40" s="19"/>
      <c r="E40" s="19"/>
      <c r="F40" s="19"/>
      <c r="G40" s="19"/>
      <c r="H40" s="19"/>
      <c r="I40" s="19"/>
    </row>
    <row r="41" spans="1:9" s="22" customFormat="1" ht="28.5" customHeight="1">
      <c r="A41" s="19"/>
      <c r="B41" s="19" t="s">
        <v>1289</v>
      </c>
      <c r="C41" s="19"/>
      <c r="D41" s="19"/>
      <c r="E41" s="19"/>
      <c r="F41" s="19"/>
      <c r="G41" s="19"/>
      <c r="H41" s="19"/>
      <c r="I41" s="19"/>
    </row>
    <row r="42" spans="1:9" s="22" customFormat="1" ht="16.5" customHeight="1">
      <c r="A42" s="19"/>
      <c r="B42" s="19"/>
      <c r="C42" s="19"/>
      <c r="D42" s="19"/>
      <c r="E42" s="19"/>
      <c r="F42" s="19"/>
      <c r="G42" s="19"/>
      <c r="H42" s="19"/>
      <c r="I42" s="19"/>
    </row>
    <row r="43" spans="1:9" s="22" customFormat="1" ht="28.5" customHeight="1">
      <c r="A43" s="19"/>
      <c r="B43" s="19" t="s">
        <v>1216</v>
      </c>
      <c r="C43" s="19"/>
      <c r="D43" s="19"/>
      <c r="E43" s="19"/>
      <c r="F43" s="19"/>
      <c r="G43" s="19"/>
      <c r="H43" s="19"/>
      <c r="I43" s="19"/>
    </row>
    <row r="44" spans="1:9" s="22" customFormat="1" ht="28.5" customHeight="1">
      <c r="A44" s="19"/>
      <c r="B44" s="19" t="s">
        <v>1217</v>
      </c>
      <c r="C44" s="19"/>
      <c r="D44" s="19"/>
      <c r="E44" s="19"/>
      <c r="F44" s="19"/>
      <c r="G44" s="19"/>
      <c r="H44" s="19"/>
      <c r="I44" s="19"/>
    </row>
    <row r="45" spans="1:9" s="22" customFormat="1" ht="28.5" customHeight="1">
      <c r="A45" s="19"/>
      <c r="B45" s="19" t="s">
        <v>1218</v>
      </c>
      <c r="C45" s="19"/>
      <c r="D45" s="19"/>
      <c r="E45" s="19"/>
      <c r="F45" s="19"/>
      <c r="G45" s="19"/>
      <c r="H45" s="19"/>
      <c r="I45" s="19"/>
    </row>
    <row r="46" spans="1:9" s="22" customFormat="1" ht="28.5" customHeight="1">
      <c r="A46" s="19"/>
      <c r="B46" s="19" t="s">
        <v>1290</v>
      </c>
      <c r="C46" s="19"/>
      <c r="D46" s="19"/>
      <c r="E46" s="19"/>
      <c r="F46" s="19"/>
      <c r="G46" s="19"/>
      <c r="H46" s="19"/>
      <c r="I46" s="19"/>
    </row>
    <row r="47" spans="1:9" s="22" customFormat="1" ht="28.5" customHeight="1">
      <c r="A47" s="19"/>
      <c r="B47" s="19" t="s">
        <v>1291</v>
      </c>
      <c r="C47" s="19"/>
      <c r="D47" s="19"/>
      <c r="E47" s="19"/>
      <c r="F47" s="19"/>
      <c r="G47" s="19"/>
      <c r="H47" s="19"/>
      <c r="I47" s="19"/>
    </row>
    <row r="48" spans="1:9" s="22" customFormat="1" ht="28.5" customHeight="1">
      <c r="A48" s="19"/>
      <c r="B48" s="19" t="s">
        <v>1219</v>
      </c>
      <c r="C48" s="19"/>
      <c r="D48" s="19"/>
      <c r="E48" s="19"/>
      <c r="F48" s="19"/>
      <c r="G48" s="19"/>
      <c r="H48" s="19"/>
      <c r="I48" s="19"/>
    </row>
    <row r="49" spans="1:9" s="22" customFormat="1" ht="28.5" customHeight="1">
      <c r="A49" s="19"/>
      <c r="B49" s="19" t="s">
        <v>1220</v>
      </c>
      <c r="C49" s="19"/>
      <c r="D49" s="19"/>
      <c r="E49" s="19"/>
      <c r="F49" s="19"/>
      <c r="G49" s="19"/>
      <c r="H49" s="19"/>
      <c r="I49" s="19"/>
    </row>
    <row r="50" spans="1:9" s="22" customFormat="1" ht="28.5" customHeight="1">
      <c r="A50" s="19"/>
      <c r="B50" s="19" t="s">
        <v>1221</v>
      </c>
      <c r="C50" s="19"/>
      <c r="D50" s="19"/>
      <c r="E50" s="19"/>
      <c r="F50" s="19"/>
      <c r="G50" s="19"/>
      <c r="H50" s="19"/>
      <c r="I50" s="19"/>
    </row>
    <row r="51" spans="1:9" s="22" customFormat="1" ht="16.5" customHeight="1">
      <c r="A51" s="19"/>
      <c r="B51" s="19"/>
      <c r="C51" s="19"/>
      <c r="D51" s="19"/>
      <c r="E51" s="19"/>
      <c r="F51" s="19"/>
      <c r="G51" s="19"/>
      <c r="H51" s="19"/>
      <c r="I51" s="19"/>
    </row>
    <row r="52" spans="1:9" s="22" customFormat="1" ht="28.5" customHeight="1">
      <c r="A52" s="19"/>
      <c r="B52" s="19" t="s">
        <v>1292</v>
      </c>
      <c r="C52" s="19"/>
      <c r="D52" s="19"/>
      <c r="E52" s="19"/>
      <c r="F52" s="19"/>
      <c r="G52" s="19"/>
      <c r="H52" s="19"/>
      <c r="I52" s="19"/>
    </row>
    <row r="53" spans="1:9" s="22" customFormat="1" ht="28.5" customHeight="1">
      <c r="A53" s="19"/>
      <c r="B53" s="19" t="s">
        <v>1293</v>
      </c>
      <c r="C53" s="19"/>
      <c r="D53" s="19"/>
      <c r="E53" s="19"/>
      <c r="F53" s="19"/>
      <c r="G53" s="19"/>
      <c r="H53" s="19"/>
      <c r="I53" s="19"/>
    </row>
    <row r="54" spans="1:9" s="22" customFormat="1" ht="28.5" customHeight="1">
      <c r="A54" s="19"/>
      <c r="B54" s="19" t="s">
        <v>1294</v>
      </c>
      <c r="C54" s="19"/>
      <c r="D54" s="19"/>
      <c r="E54" s="19"/>
      <c r="F54" s="19"/>
      <c r="G54" s="19"/>
      <c r="H54" s="19"/>
      <c r="I54" s="19"/>
    </row>
    <row r="55" spans="1:9" s="22" customFormat="1" ht="28.5" customHeight="1">
      <c r="A55" s="19"/>
      <c r="B55" s="19" t="s">
        <v>1295</v>
      </c>
      <c r="C55" s="19"/>
      <c r="D55" s="19"/>
      <c r="E55" s="19"/>
      <c r="F55" s="19"/>
      <c r="G55" s="19"/>
      <c r="H55" s="19"/>
      <c r="I55" s="19"/>
    </row>
    <row r="56" spans="2:9" s="22" customFormat="1" ht="28.5" customHeight="1">
      <c r="B56" s="19" t="s">
        <v>1296</v>
      </c>
      <c r="C56" s="19"/>
      <c r="D56" s="19"/>
      <c r="E56" s="19"/>
      <c r="F56" s="19"/>
      <c r="G56" s="19"/>
      <c r="H56" s="19"/>
      <c r="I56" s="19"/>
    </row>
    <row r="57" spans="2:9" s="22" customFormat="1" ht="28.5" customHeight="1">
      <c r="B57" s="19" t="s">
        <v>1297</v>
      </c>
      <c r="C57" s="19"/>
      <c r="D57" s="19"/>
      <c r="E57" s="19"/>
      <c r="F57" s="19"/>
      <c r="G57" s="19"/>
      <c r="H57" s="19"/>
      <c r="I57" s="19"/>
    </row>
    <row r="58" spans="2:9" s="22" customFormat="1" ht="28.5" customHeight="1">
      <c r="B58" s="19" t="s">
        <v>1298</v>
      </c>
      <c r="C58" s="19"/>
      <c r="D58" s="19"/>
      <c r="E58" s="19"/>
      <c r="F58" s="19"/>
      <c r="G58" s="19"/>
      <c r="H58" s="19"/>
      <c r="I58" s="19"/>
    </row>
    <row r="59" spans="2:9" s="22" customFormat="1" ht="28.5" customHeight="1">
      <c r="B59" s="19" t="s">
        <v>1299</v>
      </c>
      <c r="C59" s="19"/>
      <c r="D59" s="19"/>
      <c r="E59" s="19"/>
      <c r="F59" s="19"/>
      <c r="G59" s="19"/>
      <c r="H59" s="19"/>
      <c r="I59" s="19"/>
    </row>
    <row r="60" spans="2:9" s="22" customFormat="1" ht="28.5" customHeight="1">
      <c r="B60" s="19" t="s">
        <v>1300</v>
      </c>
      <c r="C60" s="19"/>
      <c r="D60" s="19"/>
      <c r="E60" s="19"/>
      <c r="F60" s="19"/>
      <c r="G60" s="19"/>
      <c r="H60" s="19"/>
      <c r="I60" s="19"/>
    </row>
    <row r="61" spans="2:9" s="22" customFormat="1" ht="28.5" customHeight="1">
      <c r="B61" s="20" t="s">
        <v>1805</v>
      </c>
      <c r="C61" s="20"/>
      <c r="D61" s="20"/>
      <c r="E61" s="20"/>
      <c r="F61" s="20"/>
      <c r="G61" s="20"/>
      <c r="H61" s="20"/>
      <c r="I61" s="20"/>
    </row>
    <row r="62" spans="2:9" s="22" customFormat="1" ht="28.5" customHeight="1">
      <c r="B62" s="20"/>
      <c r="C62" s="20"/>
      <c r="D62" s="20"/>
      <c r="E62" s="20"/>
      <c r="F62" s="20"/>
      <c r="G62" s="20"/>
      <c r="H62" s="20"/>
      <c r="I62" s="20"/>
    </row>
    <row r="63" spans="2:9" s="22" customFormat="1" ht="29.25" customHeight="1">
      <c r="B63" s="20"/>
      <c r="C63" s="20"/>
      <c r="D63" s="20"/>
      <c r="E63" s="20"/>
      <c r="F63" s="20"/>
      <c r="G63" s="20"/>
      <c r="H63" s="20"/>
      <c r="I63" s="20"/>
    </row>
    <row r="64" spans="1:256" s="22" customFormat="1" ht="29.25" customHeight="1">
      <c r="A64" s="385" t="s">
        <v>1179</v>
      </c>
      <c r="B64" s="308"/>
      <c r="C64" s="308"/>
      <c r="D64" s="308"/>
      <c r="E64" s="308"/>
      <c r="F64" s="309"/>
      <c r="G64" s="308"/>
      <c r="H64" s="637"/>
      <c r="I64" s="308"/>
      <c r="J64" s="308"/>
      <c r="K64" s="638"/>
      <c r="L64" s="638"/>
      <c r="M64" s="437"/>
      <c r="N64" s="437"/>
      <c r="O64" s="437"/>
      <c r="P64" s="437"/>
      <c r="Q64" s="437"/>
      <c r="R64" s="437"/>
      <c r="S64" s="437"/>
      <c r="T64" s="437"/>
      <c r="U64" s="437"/>
      <c r="V64" s="437"/>
      <c r="W64" s="437"/>
      <c r="X64" s="437"/>
      <c r="Y64" s="437"/>
      <c r="Z64" s="437"/>
      <c r="AA64" s="437"/>
      <c r="AB64" s="437"/>
      <c r="AC64" s="437"/>
      <c r="AD64" s="437"/>
      <c r="AE64" s="437"/>
      <c r="AF64" s="437"/>
      <c r="AG64" s="437"/>
      <c r="AH64" s="437"/>
      <c r="AI64" s="437"/>
      <c r="AJ64" s="437"/>
      <c r="AK64" s="437"/>
      <c r="AL64" s="437"/>
      <c r="AM64" s="437"/>
      <c r="AN64" s="437"/>
      <c r="AO64" s="437"/>
      <c r="AP64" s="437"/>
      <c r="AQ64" s="437"/>
      <c r="AR64" s="437"/>
      <c r="AS64" s="437"/>
      <c r="AT64" s="437"/>
      <c r="AU64" s="437"/>
      <c r="AV64" s="437"/>
      <c r="AW64" s="437"/>
      <c r="AX64" s="437"/>
      <c r="AY64" s="437"/>
      <c r="AZ64" s="437"/>
      <c r="BA64" s="437"/>
      <c r="BB64" s="437"/>
      <c r="BC64" s="437"/>
      <c r="BD64" s="437"/>
      <c r="BE64" s="437"/>
      <c r="BF64" s="437"/>
      <c r="BG64" s="437"/>
      <c r="BH64" s="437"/>
      <c r="BI64" s="437"/>
      <c r="BJ64" s="437"/>
      <c r="BK64" s="437"/>
      <c r="BL64" s="437"/>
      <c r="BM64" s="437"/>
      <c r="BN64" s="437"/>
      <c r="BO64" s="437"/>
      <c r="BP64" s="437"/>
      <c r="BQ64" s="437"/>
      <c r="BR64" s="437"/>
      <c r="BS64" s="437"/>
      <c r="BT64" s="437"/>
      <c r="BU64" s="437"/>
      <c r="BV64" s="437"/>
      <c r="BW64" s="437"/>
      <c r="BX64" s="437"/>
      <c r="BY64" s="437"/>
      <c r="BZ64" s="437"/>
      <c r="CA64" s="437"/>
      <c r="CB64" s="437"/>
      <c r="CC64" s="437"/>
      <c r="CD64" s="437"/>
      <c r="CE64" s="437"/>
      <c r="CF64" s="437"/>
      <c r="CG64" s="437"/>
      <c r="CH64" s="437"/>
      <c r="CI64" s="437"/>
      <c r="CJ64" s="437"/>
      <c r="CK64" s="437"/>
      <c r="CL64" s="437"/>
      <c r="CM64" s="437"/>
      <c r="CN64" s="437"/>
      <c r="CO64" s="437"/>
      <c r="CP64" s="437"/>
      <c r="CQ64" s="437"/>
      <c r="CR64" s="437"/>
      <c r="CS64" s="437"/>
      <c r="CT64" s="437"/>
      <c r="CU64" s="437"/>
      <c r="CV64" s="437"/>
      <c r="CW64" s="437"/>
      <c r="CX64" s="437"/>
      <c r="CY64" s="437"/>
      <c r="CZ64" s="437"/>
      <c r="DA64" s="437"/>
      <c r="DB64" s="437"/>
      <c r="DC64" s="437"/>
      <c r="DD64" s="437"/>
      <c r="DE64" s="437"/>
      <c r="DF64" s="437"/>
      <c r="DG64" s="437"/>
      <c r="DH64" s="437"/>
      <c r="DI64" s="437"/>
      <c r="DJ64" s="437"/>
      <c r="DK64" s="437"/>
      <c r="DL64" s="437"/>
      <c r="DM64" s="437"/>
      <c r="DN64" s="437"/>
      <c r="DO64" s="437"/>
      <c r="DP64" s="437"/>
      <c r="DQ64" s="437"/>
      <c r="DR64" s="437"/>
      <c r="DS64" s="437"/>
      <c r="DT64" s="437"/>
      <c r="DU64" s="437"/>
      <c r="DV64" s="437"/>
      <c r="DW64" s="437"/>
      <c r="DX64" s="437"/>
      <c r="DY64" s="437"/>
      <c r="DZ64" s="437"/>
      <c r="EA64" s="437"/>
      <c r="EB64" s="437"/>
      <c r="EC64" s="437"/>
      <c r="ED64" s="437"/>
      <c r="EE64" s="437"/>
      <c r="EF64" s="437"/>
      <c r="EG64" s="437"/>
      <c r="EH64" s="437"/>
      <c r="EI64" s="437"/>
      <c r="EJ64" s="437"/>
      <c r="EK64" s="437"/>
      <c r="EL64" s="437"/>
      <c r="EM64" s="437"/>
      <c r="EN64" s="437"/>
      <c r="EO64" s="437"/>
      <c r="EP64" s="437"/>
      <c r="EQ64" s="437"/>
      <c r="ER64" s="437"/>
      <c r="ES64" s="437"/>
      <c r="ET64" s="437"/>
      <c r="EU64" s="437"/>
      <c r="EV64" s="437"/>
      <c r="EW64" s="437"/>
      <c r="EX64" s="437"/>
      <c r="EY64" s="437"/>
      <c r="EZ64" s="437"/>
      <c r="FA64" s="437"/>
      <c r="FB64" s="437"/>
      <c r="FC64" s="437"/>
      <c r="FD64" s="437"/>
      <c r="FE64" s="437"/>
      <c r="FF64" s="437"/>
      <c r="FG64" s="437"/>
      <c r="FH64" s="437"/>
      <c r="FI64" s="437"/>
      <c r="FJ64" s="437"/>
      <c r="FK64" s="437"/>
      <c r="FL64" s="437"/>
      <c r="FM64" s="437"/>
      <c r="FN64" s="437"/>
      <c r="FO64" s="437"/>
      <c r="FP64" s="437"/>
      <c r="FQ64" s="437"/>
      <c r="FR64" s="437"/>
      <c r="FS64" s="437"/>
      <c r="FT64" s="437"/>
      <c r="FU64" s="437"/>
      <c r="FV64" s="437"/>
      <c r="FW64" s="437"/>
      <c r="FX64" s="437"/>
      <c r="FY64" s="437"/>
      <c r="FZ64" s="437"/>
      <c r="GA64" s="437"/>
      <c r="GB64" s="437"/>
      <c r="GC64" s="437"/>
      <c r="GD64" s="437"/>
      <c r="GE64" s="437"/>
      <c r="GF64" s="437"/>
      <c r="GG64" s="437"/>
      <c r="GH64" s="437"/>
      <c r="GI64" s="437"/>
      <c r="GJ64" s="437"/>
      <c r="GK64" s="437"/>
      <c r="GL64" s="437"/>
      <c r="GM64" s="437"/>
      <c r="GN64" s="437"/>
      <c r="GO64" s="437"/>
      <c r="GP64" s="437"/>
      <c r="GQ64" s="437"/>
      <c r="GR64" s="437"/>
      <c r="GS64" s="437"/>
      <c r="GT64" s="437"/>
      <c r="GU64" s="437"/>
      <c r="GV64" s="437"/>
      <c r="GW64" s="437"/>
      <c r="GX64" s="437"/>
      <c r="GY64" s="437"/>
      <c r="GZ64" s="437"/>
      <c r="HA64" s="437"/>
      <c r="HB64" s="437"/>
      <c r="HC64" s="437"/>
      <c r="HD64" s="437"/>
      <c r="HE64" s="437"/>
      <c r="HF64" s="437"/>
      <c r="HG64" s="437"/>
      <c r="HH64" s="437"/>
      <c r="HI64" s="437"/>
      <c r="HJ64" s="437"/>
      <c r="HK64" s="437"/>
      <c r="HL64" s="437"/>
      <c r="HM64" s="437"/>
      <c r="HN64" s="437"/>
      <c r="HO64" s="437"/>
      <c r="HP64" s="437"/>
      <c r="HQ64" s="437"/>
      <c r="HR64" s="437"/>
      <c r="HS64" s="437"/>
      <c r="HT64" s="437"/>
      <c r="HU64" s="437"/>
      <c r="HV64" s="437"/>
      <c r="HW64" s="437"/>
      <c r="HX64" s="437"/>
      <c r="HY64" s="437"/>
      <c r="HZ64" s="437"/>
      <c r="IA64" s="437"/>
      <c r="IB64" s="437"/>
      <c r="IC64" s="437"/>
      <c r="ID64" s="437"/>
      <c r="IE64" s="437"/>
      <c r="IF64" s="437"/>
      <c r="IG64" s="437"/>
      <c r="IH64" s="437"/>
      <c r="II64" s="437"/>
      <c r="IJ64" s="437"/>
      <c r="IK64" s="437"/>
      <c r="IL64" s="437"/>
      <c r="IM64" s="437"/>
      <c r="IN64" s="437"/>
      <c r="IO64" s="437"/>
      <c r="IP64" s="437"/>
      <c r="IQ64" s="437"/>
      <c r="IR64" s="437"/>
      <c r="IS64" s="437"/>
      <c r="IT64" s="437"/>
      <c r="IU64" s="437"/>
      <c r="IV64" s="437"/>
    </row>
    <row r="65" spans="1:256" s="22" customFormat="1" ht="29.25" customHeight="1">
      <c r="A65" s="613" t="s">
        <v>808</v>
      </c>
      <c r="B65" s="613"/>
      <c r="C65" s="613"/>
      <c r="D65" s="613"/>
      <c r="E65" s="613"/>
      <c r="F65" s="613"/>
      <c r="G65" s="613"/>
      <c r="H65" s="613"/>
      <c r="I65" s="613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</row>
    <row r="66" spans="1:9" s="22" customFormat="1" ht="29.25" customHeight="1">
      <c r="A66" s="19"/>
      <c r="B66" s="19"/>
      <c r="C66" s="19"/>
      <c r="D66" s="19"/>
      <c r="E66" s="19"/>
      <c r="F66" s="19"/>
      <c r="G66" s="19"/>
      <c r="H66" s="19"/>
      <c r="I66" s="19"/>
    </row>
    <row r="67" spans="1:9" s="22" customFormat="1" ht="29.25" customHeight="1">
      <c r="A67" s="84" t="s">
        <v>1214</v>
      </c>
      <c r="B67" s="19"/>
      <c r="C67" s="19"/>
      <c r="D67" s="19"/>
      <c r="E67" s="19"/>
      <c r="F67" s="19"/>
      <c r="G67" s="19"/>
      <c r="H67" s="19"/>
      <c r="I67" s="19"/>
    </row>
    <row r="68" spans="1:9" s="22" customFormat="1" ht="29.25" customHeight="1">
      <c r="A68" s="19" t="s">
        <v>1301</v>
      </c>
      <c r="B68" s="19"/>
      <c r="C68" s="19"/>
      <c r="D68" s="19"/>
      <c r="E68" s="19"/>
      <c r="F68" s="19"/>
      <c r="G68" s="19"/>
      <c r="H68" s="19"/>
      <c r="I68" s="19"/>
    </row>
    <row r="69" spans="1:9" s="22" customFormat="1" ht="29.25" customHeight="1">
      <c r="A69" s="21"/>
      <c r="B69" s="19" t="s">
        <v>1222</v>
      </c>
      <c r="C69" s="19"/>
      <c r="D69" s="19"/>
      <c r="E69" s="19"/>
      <c r="F69" s="19"/>
      <c r="G69" s="19"/>
      <c r="H69" s="19"/>
      <c r="I69" s="19"/>
    </row>
    <row r="70" spans="1:9" s="22" customFormat="1" ht="29.25" customHeight="1">
      <c r="A70" s="21"/>
      <c r="B70" s="19" t="s">
        <v>1223</v>
      </c>
      <c r="C70" s="19"/>
      <c r="D70" s="19"/>
      <c r="E70" s="19"/>
      <c r="F70" s="19"/>
      <c r="G70" s="19"/>
      <c r="H70" s="19"/>
      <c r="I70" s="19"/>
    </row>
    <row r="71" spans="1:9" s="22" customFormat="1" ht="29.25" customHeight="1">
      <c r="A71" s="21"/>
      <c r="B71" s="19" t="s">
        <v>1224</v>
      </c>
      <c r="C71" s="19"/>
      <c r="D71" s="19"/>
      <c r="E71" s="19"/>
      <c r="F71" s="19"/>
      <c r="G71" s="19"/>
      <c r="H71" s="19"/>
      <c r="I71" s="19"/>
    </row>
    <row r="72" spans="1:9" s="22" customFormat="1" ht="29.25" customHeight="1">
      <c r="A72" s="21"/>
      <c r="B72" s="19"/>
      <c r="C72" s="19"/>
      <c r="D72" s="19"/>
      <c r="E72" s="19"/>
      <c r="F72" s="19"/>
      <c r="G72" s="19"/>
      <c r="H72" s="19"/>
      <c r="I72" s="19"/>
    </row>
    <row r="73" spans="1:9" s="22" customFormat="1" ht="29.25" customHeight="1">
      <c r="A73" s="21"/>
      <c r="B73" s="19" t="s">
        <v>117</v>
      </c>
      <c r="C73" s="19"/>
      <c r="D73" s="19"/>
      <c r="E73" s="19"/>
      <c r="F73" s="19"/>
      <c r="G73" s="19"/>
      <c r="H73" s="19"/>
      <c r="I73" s="19"/>
    </row>
    <row r="74" spans="1:9" s="22" customFormat="1" ht="29.25" customHeight="1">
      <c r="A74" s="21"/>
      <c r="B74" s="19"/>
      <c r="C74" s="19"/>
      <c r="D74" s="19"/>
      <c r="E74" s="19"/>
      <c r="F74" s="19"/>
      <c r="G74" s="19"/>
      <c r="H74" s="19"/>
      <c r="I74" s="317" t="s">
        <v>214</v>
      </c>
    </row>
    <row r="75" spans="1:9" s="22" customFormat="1" ht="29.25" customHeight="1">
      <c r="A75" s="21"/>
      <c r="C75" s="614" t="s">
        <v>375</v>
      </c>
      <c r="D75" s="614"/>
      <c r="E75" s="614"/>
      <c r="F75" s="126"/>
      <c r="G75" s="639" t="s">
        <v>1174</v>
      </c>
      <c r="H75" s="624"/>
      <c r="I75" s="639" t="s">
        <v>1175</v>
      </c>
    </row>
    <row r="76" spans="1:9" s="22" customFormat="1" ht="29.25" customHeight="1">
      <c r="A76" s="21"/>
      <c r="C76" s="19" t="s">
        <v>1302</v>
      </c>
      <c r="D76" s="19"/>
      <c r="E76" s="19"/>
      <c r="F76" s="19"/>
      <c r="G76" s="627">
        <v>15698389380</v>
      </c>
      <c r="H76" s="627"/>
      <c r="I76" s="627">
        <v>0</v>
      </c>
    </row>
    <row r="77" spans="1:9" s="22" customFormat="1" ht="29.25" customHeight="1">
      <c r="A77" s="21"/>
      <c r="C77" s="19" t="s">
        <v>1303</v>
      </c>
      <c r="D77" s="19"/>
      <c r="E77" s="19"/>
      <c r="F77" s="19"/>
      <c r="G77" s="627">
        <v>0</v>
      </c>
      <c r="H77" s="627"/>
      <c r="I77" s="627">
        <v>7568237030</v>
      </c>
    </row>
    <row r="78" spans="1:9" s="22" customFormat="1" ht="29.25" customHeight="1">
      <c r="A78" s="21"/>
      <c r="B78" s="19"/>
      <c r="C78" s="19" t="s">
        <v>1225</v>
      </c>
      <c r="D78" s="19"/>
      <c r="E78" s="19"/>
      <c r="F78" s="19"/>
      <c r="G78" s="640">
        <v>6167589900</v>
      </c>
      <c r="H78" s="641"/>
      <c r="I78" s="627">
        <v>0</v>
      </c>
    </row>
    <row r="79" spans="1:9" s="22" customFormat="1" ht="29.25" customHeight="1">
      <c r="A79" s="21"/>
      <c r="B79" s="19"/>
      <c r="C79" s="19" t="s">
        <v>377</v>
      </c>
      <c r="D79" s="19"/>
      <c r="E79" s="19"/>
      <c r="F79" s="19"/>
      <c r="G79" s="627">
        <v>3448503396.25</v>
      </c>
      <c r="H79" s="627"/>
      <c r="I79" s="627">
        <v>2920502876.25</v>
      </c>
    </row>
    <row r="80" spans="1:9" s="22" customFormat="1" ht="29.25" customHeight="1">
      <c r="A80" s="21"/>
      <c r="B80" s="19"/>
      <c r="C80" s="19" t="s">
        <v>855</v>
      </c>
      <c r="D80" s="19"/>
      <c r="E80" s="19"/>
      <c r="F80" s="19"/>
      <c r="G80" s="627">
        <v>2516115140</v>
      </c>
      <c r="H80" s="627"/>
      <c r="I80" s="627">
        <v>2336392630</v>
      </c>
    </row>
    <row r="81" spans="1:9" s="22" customFormat="1" ht="29.25" customHeight="1">
      <c r="A81" s="21"/>
      <c r="B81" s="19"/>
      <c r="C81" s="19" t="s">
        <v>116</v>
      </c>
      <c r="D81" s="19"/>
      <c r="E81" s="19"/>
      <c r="F81" s="19"/>
      <c r="G81" s="627">
        <v>1192709375</v>
      </c>
      <c r="H81" s="627"/>
      <c r="I81" s="627">
        <v>1205465625</v>
      </c>
    </row>
    <row r="82" spans="1:9" s="22" customFormat="1" ht="29.25" customHeight="1">
      <c r="A82" s="21"/>
      <c r="B82" s="19"/>
      <c r="C82" s="19" t="s">
        <v>376</v>
      </c>
      <c r="D82" s="19"/>
      <c r="E82" s="19"/>
      <c r="F82" s="19"/>
      <c r="G82" s="627">
        <v>586993056</v>
      </c>
      <c r="H82" s="627"/>
      <c r="I82" s="627">
        <v>640612614</v>
      </c>
    </row>
    <row r="83" spans="1:9" s="22" customFormat="1" ht="29.25" customHeight="1" thickBot="1">
      <c r="A83" s="21"/>
      <c r="B83" s="19"/>
      <c r="C83" s="19"/>
      <c r="D83" s="18" t="s">
        <v>212</v>
      </c>
      <c r="E83" s="19"/>
      <c r="F83" s="19"/>
      <c r="G83" s="642">
        <f>SUM(G76:G82)</f>
        <v>29610300247.25</v>
      </c>
      <c r="H83" s="627"/>
      <c r="I83" s="642">
        <f>SUM(I76:I82)</f>
        <v>14671210775.25</v>
      </c>
    </row>
    <row r="84" spans="1:9" s="22" customFormat="1" ht="29.25" customHeight="1" thickTop="1">
      <c r="A84" s="21"/>
      <c r="B84" s="19"/>
      <c r="C84" s="19"/>
      <c r="D84" s="18"/>
      <c r="E84" s="19"/>
      <c r="F84" s="19"/>
      <c r="G84" s="627"/>
      <c r="H84" s="627"/>
      <c r="I84" s="627"/>
    </row>
    <row r="85" spans="1:9" s="22" customFormat="1" ht="29.25" customHeight="1">
      <c r="A85" s="21"/>
      <c r="B85" s="19"/>
      <c r="C85" s="19"/>
      <c r="D85" s="18"/>
      <c r="E85" s="19"/>
      <c r="F85" s="19"/>
      <c r="G85" s="627"/>
      <c r="H85" s="627"/>
      <c r="I85" s="627"/>
    </row>
    <row r="86" spans="1:9" s="22" customFormat="1" ht="29.25" customHeight="1">
      <c r="A86" s="21"/>
      <c r="B86" s="19"/>
      <c r="C86" s="19"/>
      <c r="D86" s="18"/>
      <c r="E86" s="19"/>
      <c r="F86" s="19"/>
      <c r="G86" s="627"/>
      <c r="H86" s="627"/>
      <c r="I86" s="627"/>
    </row>
    <row r="87" spans="1:12" s="437" customFormat="1" ht="29.25" customHeight="1">
      <c r="A87" s="385" t="s">
        <v>1179</v>
      </c>
      <c r="B87" s="308"/>
      <c r="C87" s="308"/>
      <c r="D87" s="308"/>
      <c r="E87" s="308"/>
      <c r="F87" s="309"/>
      <c r="G87" s="308"/>
      <c r="H87" s="637"/>
      <c r="I87" s="308"/>
      <c r="J87" s="308"/>
      <c r="K87" s="638"/>
      <c r="L87" s="638"/>
    </row>
    <row r="88" spans="1:12" s="437" customFormat="1" ht="29.25" customHeight="1">
      <c r="A88" s="385"/>
      <c r="B88" s="308"/>
      <c r="C88" s="308"/>
      <c r="D88" s="308"/>
      <c r="E88" s="308"/>
      <c r="F88" s="309"/>
      <c r="G88" s="308"/>
      <c r="H88" s="637"/>
      <c r="I88" s="308"/>
      <c r="J88" s="308"/>
      <c r="K88" s="638"/>
      <c r="L88" s="638"/>
    </row>
    <row r="89" spans="1:13" s="131" customFormat="1" ht="29.25" customHeight="1">
      <c r="A89" s="385"/>
      <c r="B89" s="385"/>
      <c r="C89" s="385"/>
      <c r="D89" s="385"/>
      <c r="E89" s="385"/>
      <c r="F89" s="385"/>
      <c r="G89" s="385"/>
      <c r="H89" s="385"/>
      <c r="I89" s="138"/>
      <c r="J89" s="138"/>
      <c r="K89" s="138"/>
      <c r="L89" s="139"/>
      <c r="M89" s="145"/>
    </row>
  </sheetData>
  <sheetProtection/>
  <conditionalFormatting sqref="J19:K25">
    <cfRule type="duplicateValues" priority="2" dxfId="2" stopIfTrue="1">
      <formula>AND(COUNTIF($J$19:$K$25,J19)&gt;1,NOT(ISBLANK(J19)))</formula>
    </cfRule>
  </conditionalFormatting>
  <conditionalFormatting sqref="B19:I25">
    <cfRule type="duplicateValues" priority="1" dxfId="2" stopIfTrue="1">
      <formula>AND(COUNTIF($B$19:$I$25,B19)&gt;1,NOT(ISBLANK(B19)))</formula>
    </cfRule>
  </conditionalFormatting>
  <printOptions/>
  <pageMargins left="0.3937007874015748" right="0" top="0.5905511811023623" bottom="0.1968503937007874" header="0.2755905511811024" footer="0.2755905511811024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4"/>
  <sheetViews>
    <sheetView zoomScaleSheetLayoutView="85" workbookViewId="0" topLeftCell="A1">
      <selection activeCell="B195" sqref="B195"/>
    </sheetView>
  </sheetViews>
  <sheetFormatPr defaultColWidth="9.140625" defaultRowHeight="24.75" customHeight="1"/>
  <cols>
    <col min="1" max="1" width="4.00390625" style="179" customWidth="1"/>
    <col min="2" max="2" width="24.8515625" style="179" customWidth="1"/>
    <col min="3" max="3" width="14.8515625" style="179" customWidth="1"/>
    <col min="4" max="4" width="9.28125" style="179" customWidth="1"/>
    <col min="5" max="5" width="11.8515625" style="179" customWidth="1"/>
    <col min="6" max="6" width="11.57421875" style="179" customWidth="1"/>
    <col min="7" max="8" width="8.421875" style="179" customWidth="1"/>
    <col min="9" max="12" width="13.7109375" style="179" customWidth="1"/>
    <col min="13" max="14" width="13.421875" style="179" customWidth="1"/>
    <col min="15" max="15" width="1.421875" style="179" customWidth="1"/>
    <col min="16" max="16384" width="9.140625" style="179" customWidth="1"/>
  </cols>
  <sheetData>
    <row r="1" spans="1:14" ht="24.75" customHeight="1">
      <c r="A1" s="178" t="s">
        <v>849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ht="24.7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2" ht="24.75" customHeight="1">
      <c r="A3" s="182" t="s">
        <v>1226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24.75" customHeight="1">
      <c r="A4" s="185" t="s">
        <v>221</v>
      </c>
      <c r="B4" s="185" t="s">
        <v>281</v>
      </c>
      <c r="C4" s="185" t="s">
        <v>239</v>
      </c>
      <c r="D4" s="185" t="s">
        <v>218</v>
      </c>
      <c r="E4" s="615" t="s">
        <v>222</v>
      </c>
      <c r="F4" s="615"/>
      <c r="G4" s="615" t="s">
        <v>282</v>
      </c>
      <c r="H4" s="615"/>
      <c r="I4" s="615" t="s">
        <v>126</v>
      </c>
      <c r="J4" s="615"/>
      <c r="K4" s="616" t="s">
        <v>224</v>
      </c>
      <c r="L4" s="616"/>
    </row>
    <row r="5" spans="1:12" ht="24.75" customHeight="1">
      <c r="A5" s="185" t="s">
        <v>283</v>
      </c>
      <c r="B5" s="181"/>
      <c r="C5" s="185" t="s">
        <v>284</v>
      </c>
      <c r="D5" s="185" t="s">
        <v>219</v>
      </c>
      <c r="E5" s="617" t="s">
        <v>225</v>
      </c>
      <c r="F5" s="617"/>
      <c r="G5" s="618" t="s">
        <v>285</v>
      </c>
      <c r="H5" s="618"/>
      <c r="I5" s="617" t="s">
        <v>226</v>
      </c>
      <c r="J5" s="617"/>
      <c r="K5" s="618" t="s">
        <v>226</v>
      </c>
      <c r="L5" s="618"/>
    </row>
    <row r="6" spans="1:12" ht="24.75" customHeight="1">
      <c r="A6" s="182"/>
      <c r="B6" s="182"/>
      <c r="C6" s="186"/>
      <c r="D6" s="186"/>
      <c r="E6" s="188" t="s">
        <v>898</v>
      </c>
      <c r="F6" s="188" t="s">
        <v>747</v>
      </c>
      <c r="G6" s="188" t="s">
        <v>898</v>
      </c>
      <c r="H6" s="188" t="s">
        <v>747</v>
      </c>
      <c r="I6" s="188" t="s">
        <v>898</v>
      </c>
      <c r="J6" s="188" t="s">
        <v>747</v>
      </c>
      <c r="K6" s="188" t="s">
        <v>898</v>
      </c>
      <c r="L6" s="188" t="s">
        <v>747</v>
      </c>
    </row>
    <row r="7" spans="1:12" ht="24.75" customHeight="1" thickBot="1">
      <c r="A7" s="189">
        <v>1</v>
      </c>
      <c r="B7" s="190" t="s">
        <v>1227</v>
      </c>
      <c r="C7" s="191" t="s">
        <v>581</v>
      </c>
      <c r="D7" s="193" t="s">
        <v>181</v>
      </c>
      <c r="E7" s="194">
        <v>3000</v>
      </c>
      <c r="F7" s="313">
        <v>0</v>
      </c>
      <c r="G7" s="313">
        <v>51</v>
      </c>
      <c r="H7" s="313">
        <v>0</v>
      </c>
      <c r="I7" s="619">
        <v>12321654</v>
      </c>
      <c r="J7" s="619">
        <v>0</v>
      </c>
      <c r="K7" s="619">
        <v>0</v>
      </c>
      <c r="L7" s="619">
        <v>0</v>
      </c>
    </row>
    <row r="8" ht="10.5" customHeight="1" thickTop="1">
      <c r="A8" s="181"/>
    </row>
    <row r="9" spans="1:2" ht="17.25">
      <c r="A9" s="181"/>
      <c r="B9" s="179" t="s">
        <v>1304</v>
      </c>
    </row>
    <row r="10" ht="17.25">
      <c r="A10" s="181"/>
    </row>
    <row r="11" ht="23.25" customHeight="1">
      <c r="A11" s="181" t="s">
        <v>1228</v>
      </c>
    </row>
    <row r="12" spans="1:14" s="181" customFormat="1" ht="23.25" customHeight="1">
      <c r="A12" s="182" t="s">
        <v>1229</v>
      </c>
      <c r="B12" s="183"/>
      <c r="C12" s="183"/>
      <c r="D12" s="183"/>
      <c r="E12" s="183"/>
      <c r="F12" s="183"/>
      <c r="G12" s="183"/>
      <c r="H12" s="183"/>
      <c r="I12" s="183"/>
      <c r="J12" s="184"/>
      <c r="K12" s="183"/>
      <c r="L12" s="184"/>
      <c r="M12" s="183"/>
      <c r="N12" s="183"/>
    </row>
    <row r="13" spans="1:14" s="181" customFormat="1" ht="23.25" customHeight="1">
      <c r="A13" s="185" t="s">
        <v>221</v>
      </c>
      <c r="B13" s="185" t="s">
        <v>281</v>
      </c>
      <c r="C13" s="185" t="s">
        <v>239</v>
      </c>
      <c r="D13" s="185" t="s">
        <v>218</v>
      </c>
      <c r="E13" s="618" t="s">
        <v>222</v>
      </c>
      <c r="F13" s="618"/>
      <c r="G13" s="618" t="s">
        <v>282</v>
      </c>
      <c r="H13" s="618"/>
      <c r="I13" s="426" t="s">
        <v>541</v>
      </c>
      <c r="J13" s="426" t="s">
        <v>1171</v>
      </c>
      <c r="K13" s="618" t="s">
        <v>126</v>
      </c>
      <c r="L13" s="618"/>
      <c r="M13" s="616" t="s">
        <v>224</v>
      </c>
      <c r="N13" s="616"/>
    </row>
    <row r="14" spans="1:14" s="181" customFormat="1" ht="23.25" customHeight="1">
      <c r="A14" s="185" t="s">
        <v>283</v>
      </c>
      <c r="B14" s="185"/>
      <c r="C14" s="185" t="s">
        <v>284</v>
      </c>
      <c r="D14" s="185" t="s">
        <v>219</v>
      </c>
      <c r="E14" s="187"/>
      <c r="F14" s="187"/>
      <c r="G14" s="187"/>
      <c r="H14" s="187"/>
      <c r="I14" s="187"/>
      <c r="J14" s="187" t="s">
        <v>1172</v>
      </c>
      <c r="K14" s="187"/>
      <c r="L14" s="187"/>
      <c r="M14" s="185"/>
      <c r="N14" s="185"/>
    </row>
    <row r="15" spans="1:14" s="181" customFormat="1" ht="23.25" customHeight="1">
      <c r="A15" s="185"/>
      <c r="B15" s="185"/>
      <c r="C15" s="185"/>
      <c r="D15" s="185"/>
      <c r="E15" s="186"/>
      <c r="F15" s="186"/>
      <c r="G15" s="186"/>
      <c r="H15" s="186"/>
      <c r="I15" s="186"/>
      <c r="J15" s="186" t="s">
        <v>1173</v>
      </c>
      <c r="K15" s="186"/>
      <c r="L15" s="186"/>
      <c r="M15" s="185"/>
      <c r="N15" s="185"/>
    </row>
    <row r="16" spans="1:14" s="181" customFormat="1" ht="23.25" customHeight="1">
      <c r="A16" s="185"/>
      <c r="C16" s="185"/>
      <c r="D16" s="185"/>
      <c r="E16" s="620" t="s">
        <v>225</v>
      </c>
      <c r="F16" s="620"/>
      <c r="G16" s="620" t="s">
        <v>285</v>
      </c>
      <c r="H16" s="620"/>
      <c r="I16" s="620" t="s">
        <v>226</v>
      </c>
      <c r="J16" s="620"/>
      <c r="K16" s="620" t="s">
        <v>226</v>
      </c>
      <c r="L16" s="620"/>
      <c r="M16" s="621" t="s">
        <v>226</v>
      </c>
      <c r="N16" s="621"/>
    </row>
    <row r="17" spans="1:14" ht="23.25" customHeight="1">
      <c r="A17" s="182"/>
      <c r="B17" s="182"/>
      <c r="C17" s="186"/>
      <c r="D17" s="186"/>
      <c r="E17" s="188" t="s">
        <v>898</v>
      </c>
      <c r="F17" s="188" t="s">
        <v>747</v>
      </c>
      <c r="G17" s="188" t="s">
        <v>898</v>
      </c>
      <c r="H17" s="188" t="s">
        <v>747</v>
      </c>
      <c r="I17" s="188" t="s">
        <v>898</v>
      </c>
      <c r="J17" s="188" t="s">
        <v>747</v>
      </c>
      <c r="K17" s="188" t="s">
        <v>898</v>
      </c>
      <c r="L17" s="188" t="s">
        <v>747</v>
      </c>
      <c r="M17" s="188" t="s">
        <v>898</v>
      </c>
      <c r="N17" s="188" t="s">
        <v>747</v>
      </c>
    </row>
    <row r="18" spans="1:14" ht="23.25" customHeight="1">
      <c r="A18" s="189">
        <v>1</v>
      </c>
      <c r="B18" s="190" t="s">
        <v>204</v>
      </c>
      <c r="C18" s="191" t="s">
        <v>235</v>
      </c>
      <c r="D18" s="193" t="s">
        <v>233</v>
      </c>
      <c r="E18" s="194">
        <v>955000</v>
      </c>
      <c r="F18" s="194">
        <v>955000</v>
      </c>
      <c r="G18" s="643">
        <v>16.81</v>
      </c>
      <c r="H18" s="643">
        <v>15.57</v>
      </c>
      <c r="I18" s="643">
        <v>321685407.99</v>
      </c>
      <c r="J18" s="643">
        <v>264227129.37</v>
      </c>
      <c r="K18" s="643">
        <v>321685407.99</v>
      </c>
      <c r="L18" s="643">
        <v>264227129.37</v>
      </c>
      <c r="M18" s="643">
        <v>20817584.2</v>
      </c>
      <c r="N18" s="643">
        <v>14869703</v>
      </c>
    </row>
    <row r="19" spans="1:14" ht="23.25" customHeight="1">
      <c r="A19" s="189">
        <v>2</v>
      </c>
      <c r="B19" s="190" t="s">
        <v>290</v>
      </c>
      <c r="C19" s="191" t="s">
        <v>291</v>
      </c>
      <c r="D19" s="193" t="s">
        <v>228</v>
      </c>
      <c r="E19" s="644">
        <v>0</v>
      </c>
      <c r="F19" s="194">
        <v>1634572</v>
      </c>
      <c r="G19" s="643">
        <v>0</v>
      </c>
      <c r="H19" s="643">
        <v>4.48</v>
      </c>
      <c r="I19" s="643">
        <v>0</v>
      </c>
      <c r="J19" s="643">
        <v>197844509.73</v>
      </c>
      <c r="K19" s="643">
        <v>0</v>
      </c>
      <c r="L19" s="643">
        <v>197844509.73</v>
      </c>
      <c r="M19" s="643">
        <v>0</v>
      </c>
      <c r="N19" s="643">
        <v>0</v>
      </c>
    </row>
    <row r="20" spans="1:14" ht="23.25" customHeight="1">
      <c r="A20" s="189">
        <v>3</v>
      </c>
      <c r="B20" s="190" t="s">
        <v>294</v>
      </c>
      <c r="C20" s="191" t="s">
        <v>291</v>
      </c>
      <c r="D20" s="193" t="s">
        <v>233</v>
      </c>
      <c r="E20" s="194">
        <v>275400</v>
      </c>
      <c r="F20" s="194">
        <v>275400</v>
      </c>
      <c r="G20" s="643">
        <v>5.65</v>
      </c>
      <c r="H20" s="643">
        <v>5.65</v>
      </c>
      <c r="I20" s="643">
        <v>195978047.96</v>
      </c>
      <c r="J20" s="643">
        <v>195978047.96</v>
      </c>
      <c r="K20" s="643">
        <v>195978047.96</v>
      </c>
      <c r="L20" s="643">
        <v>195978047.96</v>
      </c>
      <c r="M20" s="643">
        <v>677457.6</v>
      </c>
      <c r="N20" s="643">
        <v>622528.6</v>
      </c>
    </row>
    <row r="21" spans="1:14" ht="23.25" customHeight="1">
      <c r="A21" s="189">
        <v>4</v>
      </c>
      <c r="B21" s="190" t="s">
        <v>286</v>
      </c>
      <c r="C21" s="191"/>
      <c r="D21" s="191"/>
      <c r="G21" s="645"/>
      <c r="H21" s="645"/>
      <c r="I21" s="645"/>
      <c r="J21" s="645"/>
      <c r="K21" s="645"/>
      <c r="L21" s="645"/>
      <c r="M21" s="645"/>
      <c r="N21" s="645"/>
    </row>
    <row r="22" spans="1:14" ht="23.25" customHeight="1">
      <c r="A22" s="192"/>
      <c r="B22" s="190" t="s">
        <v>755</v>
      </c>
      <c r="C22" s="191" t="s">
        <v>287</v>
      </c>
      <c r="D22" s="193" t="s">
        <v>178</v>
      </c>
      <c r="E22" s="194">
        <v>149930</v>
      </c>
      <c r="F22" s="194">
        <v>149930</v>
      </c>
      <c r="G22" s="643">
        <v>16.02</v>
      </c>
      <c r="H22" s="643">
        <v>15.35</v>
      </c>
      <c r="I22" s="643">
        <v>150691632.29</v>
      </c>
      <c r="J22" s="643">
        <v>130042427.82</v>
      </c>
      <c r="K22" s="643">
        <v>150691632.29</v>
      </c>
      <c r="L22" s="643">
        <v>130042427.82</v>
      </c>
      <c r="M22" s="643">
        <v>27619285.2</v>
      </c>
      <c r="N22" s="643">
        <v>23016071</v>
      </c>
    </row>
    <row r="23" spans="1:2" ht="23.25" customHeight="1">
      <c r="A23" s="189">
        <v>5</v>
      </c>
      <c r="B23" s="179" t="s">
        <v>1230</v>
      </c>
    </row>
    <row r="24" spans="1:14" ht="23.25" customHeight="1">
      <c r="A24" s="189"/>
      <c r="B24" s="190" t="s">
        <v>1231</v>
      </c>
      <c r="C24" s="193" t="s">
        <v>232</v>
      </c>
      <c r="D24" s="193" t="s">
        <v>228</v>
      </c>
      <c r="E24" s="646" t="s">
        <v>365</v>
      </c>
      <c r="F24" s="363" t="s">
        <v>365</v>
      </c>
      <c r="G24" s="647">
        <v>0.11</v>
      </c>
      <c r="H24" s="647">
        <v>0.11</v>
      </c>
      <c r="I24" s="647">
        <v>92656195</v>
      </c>
      <c r="J24" s="647">
        <v>92656195</v>
      </c>
      <c r="K24" s="647">
        <v>92656195</v>
      </c>
      <c r="L24" s="647">
        <v>92656195</v>
      </c>
      <c r="M24" s="643">
        <f>736908.55+634687.66</f>
        <v>1371596.21</v>
      </c>
      <c r="N24" s="643">
        <v>977233.73</v>
      </c>
    </row>
    <row r="25" spans="1:14" s="200" customFormat="1" ht="23.25" customHeight="1">
      <c r="A25" s="189">
        <v>6</v>
      </c>
      <c r="B25" s="200" t="s">
        <v>386</v>
      </c>
      <c r="C25" s="199" t="s">
        <v>196</v>
      </c>
      <c r="D25" s="193" t="s">
        <v>233</v>
      </c>
      <c r="E25" s="648">
        <v>270000</v>
      </c>
      <c r="F25" s="364">
        <v>270000</v>
      </c>
      <c r="G25" s="643">
        <v>2.09</v>
      </c>
      <c r="H25" s="643">
        <v>2.09</v>
      </c>
      <c r="I25" s="643">
        <v>76720760.76</v>
      </c>
      <c r="J25" s="643">
        <v>76720760.76</v>
      </c>
      <c r="K25" s="643">
        <v>76720760.76</v>
      </c>
      <c r="L25" s="643">
        <v>76720760.76</v>
      </c>
      <c r="M25" s="643">
        <v>1409300</v>
      </c>
      <c r="N25" s="643">
        <v>1691160</v>
      </c>
    </row>
    <row r="26" spans="1:14" ht="23.25" customHeight="1">
      <c r="A26" s="189">
        <v>7</v>
      </c>
      <c r="B26" s="200" t="s">
        <v>328</v>
      </c>
      <c r="C26" s="199" t="s">
        <v>227</v>
      </c>
      <c r="D26" s="193" t="s">
        <v>178</v>
      </c>
      <c r="E26" s="194">
        <v>96000</v>
      </c>
      <c r="F26" s="194">
        <v>96000</v>
      </c>
      <c r="G26" s="643">
        <v>13.78</v>
      </c>
      <c r="H26" s="643">
        <v>13.78</v>
      </c>
      <c r="I26" s="643">
        <v>56886983.49</v>
      </c>
      <c r="J26" s="643">
        <v>56886983.49</v>
      </c>
      <c r="K26" s="643">
        <v>56886983.49</v>
      </c>
      <c r="L26" s="643">
        <v>56886983.49</v>
      </c>
      <c r="M26" s="643">
        <v>0</v>
      </c>
      <c r="N26" s="643">
        <v>0</v>
      </c>
    </row>
    <row r="27" spans="1:14" ht="23.25" customHeight="1">
      <c r="A27" s="189">
        <v>8</v>
      </c>
      <c r="B27" s="198" t="s">
        <v>327</v>
      </c>
      <c r="C27" s="199" t="s">
        <v>288</v>
      </c>
      <c r="D27" s="193" t="s">
        <v>178</v>
      </c>
      <c r="E27" s="194">
        <v>149510</v>
      </c>
      <c r="F27" s="194">
        <v>149510</v>
      </c>
      <c r="G27" s="643">
        <v>15.5</v>
      </c>
      <c r="H27" s="643">
        <v>15.5</v>
      </c>
      <c r="I27" s="643">
        <v>43120478</v>
      </c>
      <c r="J27" s="643">
        <v>43120478</v>
      </c>
      <c r="K27" s="643">
        <v>43120478</v>
      </c>
      <c r="L27" s="643">
        <v>43120478</v>
      </c>
      <c r="M27" s="643">
        <v>509902.36</v>
      </c>
      <c r="N27" s="643">
        <v>463547.6</v>
      </c>
    </row>
    <row r="28" spans="1:14" ht="23.25" customHeight="1">
      <c r="A28" s="189">
        <v>9</v>
      </c>
      <c r="B28" s="198" t="s">
        <v>344</v>
      </c>
      <c r="C28" s="199" t="s">
        <v>312</v>
      </c>
      <c r="D28" s="193" t="s">
        <v>178</v>
      </c>
      <c r="E28" s="644">
        <v>0</v>
      </c>
      <c r="F28" s="194">
        <v>450000</v>
      </c>
      <c r="G28" s="643">
        <v>0</v>
      </c>
      <c r="H28" s="643">
        <v>2.82</v>
      </c>
      <c r="I28" s="643">
        <v>0</v>
      </c>
      <c r="J28" s="643">
        <v>38008800</v>
      </c>
      <c r="K28" s="643">
        <v>0</v>
      </c>
      <c r="L28" s="643">
        <v>38008800</v>
      </c>
      <c r="M28" s="643">
        <v>11529336</v>
      </c>
      <c r="N28" s="643">
        <v>19891272</v>
      </c>
    </row>
    <row r="29" spans="1:14" ht="23.25" customHeight="1">
      <c r="A29" s="189">
        <v>10</v>
      </c>
      <c r="B29" s="190" t="s">
        <v>292</v>
      </c>
      <c r="C29" s="191" t="s">
        <v>227</v>
      </c>
      <c r="E29" s="192"/>
      <c r="F29" s="192"/>
      <c r="G29" s="645"/>
      <c r="H29" s="645"/>
      <c r="I29" s="645"/>
      <c r="J29" s="645"/>
      <c r="K29" s="645"/>
      <c r="L29" s="645"/>
      <c r="M29" s="645"/>
      <c r="N29" s="645"/>
    </row>
    <row r="30" spans="1:14" ht="23.25" customHeight="1">
      <c r="A30" s="189"/>
      <c r="B30" s="190"/>
      <c r="C30" s="191" t="s">
        <v>293</v>
      </c>
      <c r="D30" s="193" t="s">
        <v>179</v>
      </c>
      <c r="E30" s="194">
        <v>120000</v>
      </c>
      <c r="F30" s="194">
        <v>120000</v>
      </c>
      <c r="G30" s="643">
        <v>8.53</v>
      </c>
      <c r="H30" s="643">
        <v>8.53</v>
      </c>
      <c r="I30" s="643">
        <v>34040231.12</v>
      </c>
      <c r="J30" s="643">
        <v>34040231.12</v>
      </c>
      <c r="K30" s="643">
        <v>34040231.12</v>
      </c>
      <c r="L30" s="643">
        <v>34040231.12</v>
      </c>
      <c r="M30" s="643">
        <v>768000</v>
      </c>
      <c r="N30" s="643">
        <v>0</v>
      </c>
    </row>
    <row r="31" spans="1:14" ht="23.25" customHeight="1">
      <c r="A31" s="189">
        <v>11</v>
      </c>
      <c r="B31" s="198" t="s">
        <v>332</v>
      </c>
      <c r="C31" s="199" t="s">
        <v>333</v>
      </c>
      <c r="D31" s="193" t="s">
        <v>178</v>
      </c>
      <c r="E31" s="194">
        <v>75000</v>
      </c>
      <c r="F31" s="194">
        <v>75000</v>
      </c>
      <c r="G31" s="643">
        <v>14.076</v>
      </c>
      <c r="H31" s="643">
        <v>14.076</v>
      </c>
      <c r="I31" s="643">
        <v>29154287.52</v>
      </c>
      <c r="J31" s="643">
        <v>29154287.52</v>
      </c>
      <c r="K31" s="643">
        <v>29154287.52</v>
      </c>
      <c r="L31" s="643">
        <v>29154287.52</v>
      </c>
      <c r="M31" s="643">
        <v>7389900</v>
      </c>
      <c r="N31" s="643">
        <v>6334200</v>
      </c>
    </row>
    <row r="32" spans="1:14" ht="23.25" customHeight="1">
      <c r="A32" s="189">
        <v>12</v>
      </c>
      <c r="B32" s="200" t="s">
        <v>336</v>
      </c>
      <c r="C32" s="199" t="s">
        <v>337</v>
      </c>
      <c r="D32" s="193"/>
      <c r="E32" s="194"/>
      <c r="F32" s="194"/>
      <c r="G32" s="643"/>
      <c r="H32" s="643"/>
      <c r="I32" s="643"/>
      <c r="J32" s="643"/>
      <c r="K32" s="643"/>
      <c r="L32" s="643"/>
      <c r="M32" s="643"/>
      <c r="N32" s="643"/>
    </row>
    <row r="33" spans="1:14" ht="23.25" customHeight="1">
      <c r="A33" s="189"/>
      <c r="B33" s="200" t="s">
        <v>756</v>
      </c>
      <c r="C33" s="199" t="s">
        <v>338</v>
      </c>
      <c r="D33" s="193" t="s">
        <v>179</v>
      </c>
      <c r="E33" s="644">
        <v>0</v>
      </c>
      <c r="F33" s="194">
        <v>149704</v>
      </c>
      <c r="G33" s="643">
        <v>0</v>
      </c>
      <c r="H33" s="643">
        <v>3.01</v>
      </c>
      <c r="I33" s="643">
        <v>0</v>
      </c>
      <c r="J33" s="643">
        <v>28800000</v>
      </c>
      <c r="K33" s="643">
        <v>0</v>
      </c>
      <c r="L33" s="643">
        <v>28800000</v>
      </c>
      <c r="M33" s="643">
        <v>5490000</v>
      </c>
      <c r="N33" s="643">
        <v>9180000</v>
      </c>
    </row>
    <row r="34" spans="1:14" ht="23.25" customHeight="1">
      <c r="A34" s="189">
        <v>13</v>
      </c>
      <c r="B34" s="198" t="s">
        <v>329</v>
      </c>
      <c r="C34" s="199" t="s">
        <v>330</v>
      </c>
      <c r="D34" s="193" t="s">
        <v>233</v>
      </c>
      <c r="E34" s="194">
        <v>108000</v>
      </c>
      <c r="F34" s="194">
        <v>108000</v>
      </c>
      <c r="G34" s="643">
        <v>12.03</v>
      </c>
      <c r="H34" s="643">
        <v>12.03</v>
      </c>
      <c r="I34" s="643">
        <v>12993750</v>
      </c>
      <c r="J34" s="643">
        <v>12993750</v>
      </c>
      <c r="K34" s="643">
        <v>12993750</v>
      </c>
      <c r="L34" s="643">
        <v>12993750</v>
      </c>
      <c r="M34" s="643">
        <v>9095625</v>
      </c>
      <c r="N34" s="643">
        <v>20790000</v>
      </c>
    </row>
    <row r="35" spans="1:14" ht="23.25" customHeight="1">
      <c r="A35" s="189">
        <v>14</v>
      </c>
      <c r="B35" s="190" t="s">
        <v>1232</v>
      </c>
      <c r="C35" s="191" t="s">
        <v>288</v>
      </c>
      <c r="D35" s="193" t="s">
        <v>178</v>
      </c>
      <c r="E35" s="194">
        <v>60000</v>
      </c>
      <c r="F35" s="194">
        <v>60000</v>
      </c>
      <c r="G35" s="643">
        <v>12.73</v>
      </c>
      <c r="H35" s="643">
        <v>12.73</v>
      </c>
      <c r="I35" s="643">
        <v>12215983.3</v>
      </c>
      <c r="J35" s="643">
        <v>12215983.3</v>
      </c>
      <c r="K35" s="643">
        <v>12215983.3</v>
      </c>
      <c r="L35" s="643">
        <v>12215983.3</v>
      </c>
      <c r="M35" s="643">
        <v>5344500</v>
      </c>
      <c r="N35" s="643">
        <v>5344500</v>
      </c>
    </row>
    <row r="36" spans="1:14" ht="23.25" customHeight="1">
      <c r="A36" s="189">
        <v>15</v>
      </c>
      <c r="B36" s="198" t="s">
        <v>334</v>
      </c>
      <c r="C36" s="199" t="s">
        <v>335</v>
      </c>
      <c r="D36" s="193" t="s">
        <v>179</v>
      </c>
      <c r="E36" s="194">
        <v>100000</v>
      </c>
      <c r="F36" s="194">
        <v>100000</v>
      </c>
      <c r="G36" s="643">
        <v>5.33</v>
      </c>
      <c r="H36" s="643">
        <v>5.33</v>
      </c>
      <c r="I36" s="643">
        <v>11199960</v>
      </c>
      <c r="J36" s="643">
        <v>11199960</v>
      </c>
      <c r="K36" s="643">
        <v>11199960</v>
      </c>
      <c r="L36" s="643">
        <v>11199960</v>
      </c>
      <c r="M36" s="643">
        <v>127999.68</v>
      </c>
      <c r="N36" s="643">
        <v>106666.4</v>
      </c>
    </row>
    <row r="37" spans="1:14" ht="23.25" customHeight="1">
      <c r="A37" s="189"/>
      <c r="B37" s="193" t="s">
        <v>238</v>
      </c>
      <c r="E37" s="201"/>
      <c r="F37" s="201"/>
      <c r="G37" s="201"/>
      <c r="H37" s="201"/>
      <c r="I37" s="649">
        <f aca="true" t="shared" si="0" ref="I37:N37">SUM(I18:I36)</f>
        <v>1037343717.43</v>
      </c>
      <c r="J37" s="649">
        <f t="shared" si="0"/>
        <v>1223889544.07</v>
      </c>
      <c r="K37" s="649">
        <f t="shared" si="0"/>
        <v>1037343717.43</v>
      </c>
      <c r="L37" s="649">
        <f t="shared" si="0"/>
        <v>1223889544.07</v>
      </c>
      <c r="M37" s="649">
        <f t="shared" si="0"/>
        <v>92150486.25</v>
      </c>
      <c r="N37" s="649">
        <f t="shared" si="0"/>
        <v>103286882.33000001</v>
      </c>
    </row>
    <row r="38" spans="1:14" ht="23.25" customHeight="1">
      <c r="A38" s="189"/>
      <c r="B38" s="201" t="s">
        <v>295</v>
      </c>
      <c r="E38" s="201"/>
      <c r="F38" s="201"/>
      <c r="G38" s="201"/>
      <c r="H38" s="201"/>
      <c r="I38" s="643">
        <v>1354244295.07</v>
      </c>
      <c r="J38" s="201">
        <v>2193210431.54</v>
      </c>
      <c r="K38" s="643">
        <v>1354244295.07</v>
      </c>
      <c r="L38" s="201">
        <v>2193210431.54</v>
      </c>
      <c r="M38" s="643">
        <v>0</v>
      </c>
      <c r="N38" s="195" t="s">
        <v>213</v>
      </c>
    </row>
    <row r="39" spans="1:14" ht="23.25" customHeight="1">
      <c r="A39" s="189" t="s">
        <v>366</v>
      </c>
      <c r="B39" s="201" t="s">
        <v>367</v>
      </c>
      <c r="E39" s="201"/>
      <c r="F39" s="201"/>
      <c r="G39" s="201"/>
      <c r="H39" s="201"/>
      <c r="I39" s="650">
        <v>0</v>
      </c>
      <c r="J39" s="183">
        <v>-197844509.73</v>
      </c>
      <c r="K39" s="650">
        <v>0</v>
      </c>
      <c r="L39" s="183">
        <v>-197844509.73</v>
      </c>
      <c r="M39" s="650">
        <v>0</v>
      </c>
      <c r="N39" s="195" t="s">
        <v>213</v>
      </c>
    </row>
    <row r="40" spans="1:14" ht="23.25" customHeight="1" thickBot="1">
      <c r="A40" s="189"/>
      <c r="B40" s="201" t="s">
        <v>358</v>
      </c>
      <c r="I40" s="651">
        <f aca="true" t="shared" si="1" ref="I40:N40">SUM(I37:I39)</f>
        <v>2391588012.5</v>
      </c>
      <c r="J40" s="202">
        <f t="shared" si="1"/>
        <v>3219255465.8799996</v>
      </c>
      <c r="K40" s="651">
        <f t="shared" si="1"/>
        <v>2391588012.5</v>
      </c>
      <c r="L40" s="202">
        <f t="shared" si="1"/>
        <v>3219255465.8799996</v>
      </c>
      <c r="M40" s="651">
        <f t="shared" si="1"/>
        <v>92150486.25</v>
      </c>
      <c r="N40" s="202">
        <f t="shared" si="1"/>
        <v>103286882.33000001</v>
      </c>
    </row>
    <row r="41" spans="1:14" ht="23.25" customHeight="1" thickTop="1">
      <c r="A41" s="203" t="s">
        <v>1233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</row>
    <row r="42" spans="1:14" ht="23.25" customHeight="1">
      <c r="A42" s="189">
        <v>16</v>
      </c>
      <c r="B42" s="190" t="s">
        <v>290</v>
      </c>
      <c r="C42" s="191" t="s">
        <v>291</v>
      </c>
      <c r="D42" s="193" t="s">
        <v>228</v>
      </c>
      <c r="E42" s="652">
        <v>1634572</v>
      </c>
      <c r="F42" s="313">
        <v>0</v>
      </c>
      <c r="G42" s="643">
        <v>4.48</v>
      </c>
      <c r="H42" s="313">
        <v>0</v>
      </c>
      <c r="I42" s="643">
        <v>197844509.73000002</v>
      </c>
      <c r="J42" s="313">
        <v>0</v>
      </c>
      <c r="K42" s="643">
        <v>197844509.73000002</v>
      </c>
      <c r="L42" s="313">
        <v>0</v>
      </c>
      <c r="M42" s="653">
        <v>0</v>
      </c>
      <c r="N42" s="365">
        <v>0</v>
      </c>
    </row>
    <row r="43" spans="1:14" ht="23.25" customHeight="1">
      <c r="A43" s="189">
        <v>17</v>
      </c>
      <c r="B43" s="218" t="s">
        <v>757</v>
      </c>
      <c r="C43" s="191" t="s">
        <v>758</v>
      </c>
      <c r="D43" s="193"/>
      <c r="E43" s="204"/>
      <c r="F43" s="205"/>
      <c r="G43" s="195"/>
      <c r="H43" s="205"/>
      <c r="I43" s="195"/>
      <c r="J43" s="205"/>
      <c r="K43" s="195"/>
      <c r="L43" s="205"/>
      <c r="M43" s="205"/>
      <c r="N43" s="205"/>
    </row>
    <row r="44" spans="1:14" ht="23.25" customHeight="1">
      <c r="A44" s="189"/>
      <c r="B44" s="218"/>
      <c r="C44" s="191" t="s">
        <v>759</v>
      </c>
      <c r="D44" s="193" t="s">
        <v>1305</v>
      </c>
      <c r="E44" s="204">
        <v>1000000</v>
      </c>
      <c r="F44" s="204">
        <v>1000000</v>
      </c>
      <c r="G44" s="643">
        <v>19</v>
      </c>
      <c r="H44" s="653">
        <v>19</v>
      </c>
      <c r="I44" s="643">
        <v>190000000</v>
      </c>
      <c r="J44" s="653">
        <v>190000000</v>
      </c>
      <c r="K44" s="643">
        <v>190000000</v>
      </c>
      <c r="L44" s="653">
        <v>190000000</v>
      </c>
      <c r="M44" s="653">
        <v>0</v>
      </c>
      <c r="N44" s="653">
        <v>0</v>
      </c>
    </row>
    <row r="45" spans="1:14" ht="23.25" customHeight="1">
      <c r="A45" s="189">
        <v>18</v>
      </c>
      <c r="B45" s="179" t="s">
        <v>856</v>
      </c>
      <c r="C45" s="193" t="s">
        <v>119</v>
      </c>
      <c r="D45" s="191" t="s">
        <v>233</v>
      </c>
      <c r="E45" s="192">
        <v>621463</v>
      </c>
      <c r="F45" s="192">
        <v>621463</v>
      </c>
      <c r="G45" s="645">
        <v>16.04</v>
      </c>
      <c r="H45" s="645">
        <v>16.04</v>
      </c>
      <c r="I45" s="645">
        <v>126256111.36</v>
      </c>
      <c r="J45" s="645">
        <v>126256111.36</v>
      </c>
      <c r="K45" s="645">
        <v>126256111.36</v>
      </c>
      <c r="L45" s="645">
        <v>126256111.36</v>
      </c>
      <c r="M45" s="653">
        <v>0</v>
      </c>
      <c r="N45" s="653">
        <v>0</v>
      </c>
    </row>
    <row r="46" spans="1:16" s="200" customFormat="1" ht="23.25" customHeight="1">
      <c r="A46" s="189">
        <v>19</v>
      </c>
      <c r="B46" s="218" t="s">
        <v>475</v>
      </c>
      <c r="C46" s="221"/>
      <c r="D46" s="199"/>
      <c r="E46" s="194"/>
      <c r="F46" s="194"/>
      <c r="G46" s="643"/>
      <c r="H46" s="643"/>
      <c r="I46" s="643"/>
      <c r="J46" s="643"/>
      <c r="K46" s="643"/>
      <c r="L46" s="643"/>
      <c r="M46" s="653"/>
      <c r="N46" s="653"/>
      <c r="P46" s="179"/>
    </row>
    <row r="47" spans="1:16" s="200" customFormat="1" ht="23.25" customHeight="1">
      <c r="A47" s="223"/>
      <c r="B47" s="218" t="s">
        <v>760</v>
      </c>
      <c r="C47" s="219" t="s">
        <v>634</v>
      </c>
      <c r="D47" s="199" t="s">
        <v>233</v>
      </c>
      <c r="E47" s="194">
        <v>2110000</v>
      </c>
      <c r="F47" s="194">
        <v>2110000</v>
      </c>
      <c r="G47" s="313">
        <v>6.78</v>
      </c>
      <c r="H47" s="643">
        <v>6.78</v>
      </c>
      <c r="I47" s="313">
        <v>115469900</v>
      </c>
      <c r="J47" s="643">
        <f>143009900-38250000</f>
        <v>104759900</v>
      </c>
      <c r="K47" s="313">
        <v>115469900</v>
      </c>
      <c r="L47" s="643">
        <f>143009900-38250000</f>
        <v>104759900</v>
      </c>
      <c r="M47" s="653">
        <v>0</v>
      </c>
      <c r="N47" s="653">
        <v>0</v>
      </c>
      <c r="P47" s="179"/>
    </row>
    <row r="48" spans="1:14" ht="23.25" customHeight="1">
      <c r="A48" s="189">
        <v>20</v>
      </c>
      <c r="B48" s="218" t="s">
        <v>478</v>
      </c>
      <c r="C48" s="219" t="s">
        <v>85</v>
      </c>
      <c r="D48" s="191" t="s">
        <v>178</v>
      </c>
      <c r="E48" s="194">
        <v>1087000</v>
      </c>
      <c r="F48" s="194">
        <v>1087000</v>
      </c>
      <c r="G48" s="643">
        <v>9</v>
      </c>
      <c r="H48" s="643">
        <v>9</v>
      </c>
      <c r="I48" s="313">
        <v>97830000</v>
      </c>
      <c r="J48" s="643">
        <v>97830000</v>
      </c>
      <c r="K48" s="313">
        <v>97830000</v>
      </c>
      <c r="L48" s="643">
        <v>97830000</v>
      </c>
      <c r="M48" s="653">
        <v>0</v>
      </c>
      <c r="N48" s="653">
        <v>0</v>
      </c>
    </row>
    <row r="49" spans="1:14" ht="23.25" customHeight="1">
      <c r="A49" s="189">
        <v>21</v>
      </c>
      <c r="B49" s="190" t="s">
        <v>1234</v>
      </c>
      <c r="C49" s="191" t="s">
        <v>1235</v>
      </c>
      <c r="D49" s="193" t="s">
        <v>1305</v>
      </c>
      <c r="E49" s="204">
        <v>1000000</v>
      </c>
      <c r="F49" s="643">
        <v>0</v>
      </c>
      <c r="G49" s="643">
        <v>10</v>
      </c>
      <c r="H49" s="643">
        <v>0</v>
      </c>
      <c r="I49" s="643">
        <v>100000000</v>
      </c>
      <c r="J49" s="643">
        <v>0</v>
      </c>
      <c r="K49" s="643">
        <v>100000000</v>
      </c>
      <c r="L49" s="643">
        <v>0</v>
      </c>
      <c r="M49" s="653">
        <v>0</v>
      </c>
      <c r="N49" s="653">
        <v>0</v>
      </c>
    </row>
    <row r="50" spans="1:14" ht="23.25" customHeight="1">
      <c r="A50" s="189">
        <v>22</v>
      </c>
      <c r="B50" s="190" t="s">
        <v>857</v>
      </c>
      <c r="C50" s="193" t="s">
        <v>199</v>
      </c>
      <c r="E50" s="192"/>
      <c r="F50" s="192"/>
      <c r="G50" s="645"/>
      <c r="H50" s="645"/>
      <c r="I50" s="645"/>
      <c r="J50" s="645"/>
      <c r="K50" s="645"/>
      <c r="L50" s="645"/>
      <c r="M50" s="645"/>
      <c r="N50" s="645"/>
    </row>
    <row r="51" spans="1:14" ht="23.25" customHeight="1">
      <c r="A51" s="189"/>
      <c r="B51" s="190" t="s">
        <v>761</v>
      </c>
      <c r="C51" s="193" t="s">
        <v>200</v>
      </c>
      <c r="D51" s="193" t="s">
        <v>228</v>
      </c>
      <c r="E51" s="192">
        <v>1350000</v>
      </c>
      <c r="F51" s="192">
        <v>1350000</v>
      </c>
      <c r="G51" s="645">
        <v>6</v>
      </c>
      <c r="H51" s="645">
        <v>6</v>
      </c>
      <c r="I51" s="645">
        <v>81000000</v>
      </c>
      <c r="J51" s="645">
        <v>81000000</v>
      </c>
      <c r="K51" s="645">
        <v>81000000</v>
      </c>
      <c r="L51" s="645">
        <v>81000000</v>
      </c>
      <c r="M51" s="643">
        <v>13980240</v>
      </c>
      <c r="N51" s="643">
        <v>9234000</v>
      </c>
    </row>
    <row r="52" spans="1:14" ht="23.25" customHeight="1">
      <c r="A52" s="189">
        <v>23</v>
      </c>
      <c r="B52" s="190" t="s">
        <v>762</v>
      </c>
      <c r="C52" s="191" t="s">
        <v>315</v>
      </c>
      <c r="D52" s="193" t="s">
        <v>233</v>
      </c>
      <c r="E52" s="204">
        <v>324000</v>
      </c>
      <c r="F52" s="204">
        <v>324000</v>
      </c>
      <c r="G52" s="643">
        <v>19.71</v>
      </c>
      <c r="H52" s="643">
        <v>19.71</v>
      </c>
      <c r="I52" s="643">
        <v>76609202.82</v>
      </c>
      <c r="J52" s="643">
        <v>76609202.82</v>
      </c>
      <c r="K52" s="643">
        <v>76609202.82</v>
      </c>
      <c r="L52" s="643">
        <v>76609202.82</v>
      </c>
      <c r="M52" s="643">
        <v>2554068</v>
      </c>
      <c r="N52" s="643">
        <v>2873326.5</v>
      </c>
    </row>
    <row r="53" spans="1:14" ht="23.25" customHeight="1">
      <c r="A53" s="189">
        <v>24</v>
      </c>
      <c r="B53" s="190" t="s">
        <v>441</v>
      </c>
      <c r="C53" s="191" t="s">
        <v>296</v>
      </c>
      <c r="D53" s="193" t="s">
        <v>179</v>
      </c>
      <c r="E53" s="194">
        <v>200000</v>
      </c>
      <c r="F53" s="194">
        <v>200000</v>
      </c>
      <c r="G53" s="643">
        <v>18.16</v>
      </c>
      <c r="H53" s="643">
        <v>18.16</v>
      </c>
      <c r="I53" s="643">
        <v>69561939.58</v>
      </c>
      <c r="J53" s="643">
        <v>69561939.58</v>
      </c>
      <c r="K53" s="643">
        <v>69561939.58</v>
      </c>
      <c r="L53" s="643">
        <v>69561939.58</v>
      </c>
      <c r="M53" s="643">
        <v>0</v>
      </c>
      <c r="N53" s="643">
        <v>0</v>
      </c>
    </row>
    <row r="54" spans="1:16" s="200" customFormat="1" ht="23.25" customHeight="1">
      <c r="A54" s="189">
        <v>25</v>
      </c>
      <c r="B54" s="218" t="s">
        <v>476</v>
      </c>
      <c r="C54" s="219" t="s">
        <v>477</v>
      </c>
      <c r="D54" s="199" t="s">
        <v>182</v>
      </c>
      <c r="E54" s="194">
        <v>250000</v>
      </c>
      <c r="F54" s="194">
        <v>250000</v>
      </c>
      <c r="G54" s="313">
        <v>15</v>
      </c>
      <c r="H54" s="643">
        <v>15</v>
      </c>
      <c r="I54" s="313">
        <v>60000000</v>
      </c>
      <c r="J54" s="643">
        <v>60000000</v>
      </c>
      <c r="K54" s="313">
        <v>60000000</v>
      </c>
      <c r="L54" s="643">
        <v>60000000</v>
      </c>
      <c r="M54" s="653">
        <v>0</v>
      </c>
      <c r="N54" s="653">
        <v>0</v>
      </c>
      <c r="P54" s="179"/>
    </row>
    <row r="55" spans="1:16" s="200" customFormat="1" ht="23.25" customHeight="1">
      <c r="A55" s="189"/>
      <c r="B55" s="218"/>
      <c r="C55" s="219"/>
      <c r="D55" s="199"/>
      <c r="E55" s="194"/>
      <c r="F55" s="194"/>
      <c r="G55" s="313"/>
      <c r="H55" s="643"/>
      <c r="I55" s="313"/>
      <c r="J55" s="643"/>
      <c r="K55" s="313"/>
      <c r="L55" s="643"/>
      <c r="M55" s="653"/>
      <c r="N55" s="653"/>
      <c r="P55" s="179"/>
    </row>
    <row r="56" spans="1:16" s="200" customFormat="1" ht="23.25" customHeight="1">
      <c r="A56" s="189"/>
      <c r="B56" s="218"/>
      <c r="C56" s="219"/>
      <c r="D56" s="199"/>
      <c r="E56" s="194"/>
      <c r="F56" s="194"/>
      <c r="G56" s="313"/>
      <c r="H56" s="643"/>
      <c r="I56" s="313"/>
      <c r="J56" s="643"/>
      <c r="K56" s="313"/>
      <c r="L56" s="643"/>
      <c r="M56" s="653"/>
      <c r="N56" s="653"/>
      <c r="P56" s="179"/>
    </row>
    <row r="57" spans="1:16" s="200" customFormat="1" ht="23.25" customHeight="1">
      <c r="A57" s="189"/>
      <c r="B57" s="218"/>
      <c r="C57" s="219"/>
      <c r="D57" s="199"/>
      <c r="E57" s="194"/>
      <c r="F57" s="194"/>
      <c r="G57" s="313"/>
      <c r="H57" s="643"/>
      <c r="I57" s="313"/>
      <c r="J57" s="643"/>
      <c r="K57" s="313"/>
      <c r="L57" s="643"/>
      <c r="M57" s="653"/>
      <c r="N57" s="653"/>
      <c r="P57" s="179"/>
    </row>
    <row r="58" spans="1:16" s="208" customFormat="1" ht="24.75" customHeight="1">
      <c r="A58" s="206" t="s">
        <v>1236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P58" s="179"/>
    </row>
    <row r="59" spans="1:14" ht="24.75" customHeight="1">
      <c r="A59" s="178" t="s">
        <v>1627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</row>
    <row r="60" spans="1:12" ht="24.75" customHeight="1">
      <c r="A60" s="191"/>
      <c r="B60" s="190"/>
      <c r="C60" s="191"/>
      <c r="D60" s="193"/>
      <c r="E60" s="201"/>
      <c r="F60" s="201"/>
      <c r="G60" s="209"/>
      <c r="H60" s="209"/>
      <c r="I60" s="209"/>
      <c r="J60" s="209"/>
      <c r="K60" s="209"/>
      <c r="L60" s="209"/>
    </row>
    <row r="61" spans="1:16" s="181" customFormat="1" ht="24.75" customHeight="1">
      <c r="A61" s="182" t="s">
        <v>1237</v>
      </c>
      <c r="B61" s="183"/>
      <c r="C61" s="210"/>
      <c r="D61" s="210"/>
      <c r="E61" s="183"/>
      <c r="F61" s="183"/>
      <c r="G61" s="184"/>
      <c r="H61" s="184"/>
      <c r="I61" s="184"/>
      <c r="J61" s="184"/>
      <c r="K61" s="184"/>
      <c r="L61" s="184"/>
      <c r="M61" s="183"/>
      <c r="N61" s="183"/>
      <c r="P61" s="179"/>
    </row>
    <row r="62" spans="1:16" s="181" customFormat="1" ht="24" customHeight="1">
      <c r="A62" s="185" t="s">
        <v>221</v>
      </c>
      <c r="B62" s="185" t="s">
        <v>281</v>
      </c>
      <c r="C62" s="185" t="s">
        <v>239</v>
      </c>
      <c r="D62" s="185" t="s">
        <v>218</v>
      </c>
      <c r="E62" s="618" t="s">
        <v>222</v>
      </c>
      <c r="F62" s="618"/>
      <c r="G62" s="618" t="s">
        <v>282</v>
      </c>
      <c r="H62" s="618"/>
      <c r="I62" s="426" t="s">
        <v>541</v>
      </c>
      <c r="J62" s="426" t="s">
        <v>1171</v>
      </c>
      <c r="K62" s="618" t="s">
        <v>126</v>
      </c>
      <c r="L62" s="618"/>
      <c r="M62" s="616" t="s">
        <v>224</v>
      </c>
      <c r="N62" s="616"/>
      <c r="P62" s="179"/>
    </row>
    <row r="63" spans="1:16" s="181" customFormat="1" ht="24" customHeight="1">
      <c r="A63" s="185" t="s">
        <v>283</v>
      </c>
      <c r="B63" s="185"/>
      <c r="C63" s="185" t="s">
        <v>284</v>
      </c>
      <c r="D63" s="185" t="s">
        <v>219</v>
      </c>
      <c r="E63" s="187"/>
      <c r="F63" s="187"/>
      <c r="G63" s="187"/>
      <c r="H63" s="187"/>
      <c r="I63" s="187"/>
      <c r="J63" s="187" t="s">
        <v>1172</v>
      </c>
      <c r="K63" s="187"/>
      <c r="L63" s="187"/>
      <c r="M63" s="185"/>
      <c r="N63" s="185"/>
      <c r="P63" s="179"/>
    </row>
    <row r="64" spans="1:16" s="181" customFormat="1" ht="24" customHeight="1">
      <c r="A64" s="185"/>
      <c r="B64" s="185"/>
      <c r="C64" s="185"/>
      <c r="D64" s="185"/>
      <c r="E64" s="186"/>
      <c r="F64" s="186"/>
      <c r="G64" s="186"/>
      <c r="H64" s="186"/>
      <c r="I64" s="186"/>
      <c r="J64" s="186" t="s">
        <v>1173</v>
      </c>
      <c r="K64" s="186"/>
      <c r="L64" s="186"/>
      <c r="M64" s="185"/>
      <c r="N64" s="185"/>
      <c r="P64" s="179"/>
    </row>
    <row r="65" spans="1:16" s="181" customFormat="1" ht="24" customHeight="1">
      <c r="A65" s="185"/>
      <c r="C65" s="185"/>
      <c r="D65" s="185"/>
      <c r="E65" s="620" t="s">
        <v>225</v>
      </c>
      <c r="F65" s="620"/>
      <c r="G65" s="620" t="s">
        <v>285</v>
      </c>
      <c r="H65" s="620"/>
      <c r="I65" s="620" t="s">
        <v>226</v>
      </c>
      <c r="J65" s="620"/>
      <c r="K65" s="620" t="s">
        <v>226</v>
      </c>
      <c r="L65" s="620"/>
      <c r="M65" s="621" t="s">
        <v>226</v>
      </c>
      <c r="N65" s="621"/>
      <c r="P65" s="179"/>
    </row>
    <row r="66" spans="1:14" ht="24" customHeight="1">
      <c r="A66" s="182"/>
      <c r="B66" s="182"/>
      <c r="C66" s="186"/>
      <c r="D66" s="186"/>
      <c r="E66" s="188" t="s">
        <v>898</v>
      </c>
      <c r="F66" s="188" t="s">
        <v>747</v>
      </c>
      <c r="G66" s="188" t="s">
        <v>898</v>
      </c>
      <c r="H66" s="188" t="s">
        <v>747</v>
      </c>
      <c r="I66" s="188" t="s">
        <v>898</v>
      </c>
      <c r="J66" s="188" t="s">
        <v>747</v>
      </c>
      <c r="K66" s="188" t="s">
        <v>898</v>
      </c>
      <c r="L66" s="188" t="s">
        <v>747</v>
      </c>
      <c r="M66" s="188" t="s">
        <v>898</v>
      </c>
      <c r="N66" s="188" t="s">
        <v>747</v>
      </c>
    </row>
    <row r="67" spans="1:14" ht="24" customHeight="1">
      <c r="A67" s="189">
        <v>26</v>
      </c>
      <c r="B67" s="218" t="s">
        <v>479</v>
      </c>
      <c r="C67" s="219" t="s">
        <v>145</v>
      </c>
      <c r="D67" s="191" t="s">
        <v>280</v>
      </c>
      <c r="E67" s="225">
        <v>132500</v>
      </c>
      <c r="F67" s="225">
        <v>132500</v>
      </c>
      <c r="G67" s="643">
        <v>9</v>
      </c>
      <c r="H67" s="643">
        <v>9</v>
      </c>
      <c r="I67" s="643">
        <v>11925000</v>
      </c>
      <c r="J67" s="643">
        <v>11925000</v>
      </c>
      <c r="K67" s="643">
        <v>11925000</v>
      </c>
      <c r="L67" s="643">
        <v>11925000</v>
      </c>
      <c r="M67" s="653">
        <v>0</v>
      </c>
      <c r="N67" s="653">
        <v>0</v>
      </c>
    </row>
    <row r="68" spans="1:14" ht="24" customHeight="1">
      <c r="A68" s="189">
        <v>27</v>
      </c>
      <c r="B68" s="217" t="s">
        <v>454</v>
      </c>
      <c r="C68" s="199" t="s">
        <v>347</v>
      </c>
      <c r="D68" s="191" t="s">
        <v>181</v>
      </c>
      <c r="E68" s="192">
        <v>300000</v>
      </c>
      <c r="F68" s="192">
        <v>300000</v>
      </c>
      <c r="G68" s="645">
        <v>19.33</v>
      </c>
      <c r="H68" s="645">
        <v>19.33</v>
      </c>
      <c r="I68" s="645">
        <v>58000000</v>
      </c>
      <c r="J68" s="645">
        <v>58000000</v>
      </c>
      <c r="K68" s="645">
        <v>58000000</v>
      </c>
      <c r="L68" s="645">
        <v>58000000</v>
      </c>
      <c r="M68" s="653">
        <v>0</v>
      </c>
      <c r="N68" s="653">
        <v>0</v>
      </c>
    </row>
    <row r="69" spans="1:14" ht="24" customHeight="1">
      <c r="A69" s="189">
        <v>28</v>
      </c>
      <c r="B69" s="190" t="s">
        <v>858</v>
      </c>
      <c r="C69" s="191" t="s">
        <v>758</v>
      </c>
      <c r="D69" s="193"/>
      <c r="E69" s="204"/>
      <c r="F69" s="205"/>
      <c r="G69" s="643"/>
      <c r="H69" s="653"/>
      <c r="I69" s="643"/>
      <c r="J69" s="653"/>
      <c r="K69" s="643"/>
      <c r="L69" s="653"/>
      <c r="M69" s="653"/>
      <c r="N69" s="653"/>
    </row>
    <row r="70" spans="1:14" ht="24" customHeight="1">
      <c r="A70" s="189"/>
      <c r="B70" s="190"/>
      <c r="C70" s="191" t="s">
        <v>759</v>
      </c>
      <c r="D70" s="193" t="s">
        <v>228</v>
      </c>
      <c r="E70" s="204">
        <v>300000</v>
      </c>
      <c r="F70" s="622">
        <v>300000</v>
      </c>
      <c r="G70" s="643">
        <v>19</v>
      </c>
      <c r="H70" s="653">
        <v>19</v>
      </c>
      <c r="I70" s="643">
        <v>57000000</v>
      </c>
      <c r="J70" s="653">
        <v>57000000</v>
      </c>
      <c r="K70" s="643">
        <v>57000000</v>
      </c>
      <c r="L70" s="653">
        <v>57000000</v>
      </c>
      <c r="M70" s="653">
        <v>0</v>
      </c>
      <c r="N70" s="653">
        <v>0</v>
      </c>
    </row>
    <row r="71" spans="1:2" ht="24" customHeight="1">
      <c r="A71" s="189">
        <v>29</v>
      </c>
      <c r="B71" s="190" t="s">
        <v>1238</v>
      </c>
    </row>
    <row r="72" spans="1:14" ht="24" customHeight="1">
      <c r="A72" s="189"/>
      <c r="B72" s="218" t="s">
        <v>1239</v>
      </c>
      <c r="C72" s="191" t="s">
        <v>320</v>
      </c>
      <c r="D72" s="193" t="s">
        <v>233</v>
      </c>
      <c r="E72" s="204">
        <v>600000</v>
      </c>
      <c r="F72" s="204">
        <v>600000</v>
      </c>
      <c r="G72" s="643">
        <v>9</v>
      </c>
      <c r="H72" s="643">
        <v>9</v>
      </c>
      <c r="I72" s="643">
        <v>54937500</v>
      </c>
      <c r="J72" s="643">
        <v>54937500</v>
      </c>
      <c r="K72" s="643">
        <v>54937500</v>
      </c>
      <c r="L72" s="643">
        <v>54937500</v>
      </c>
      <c r="M72" s="653">
        <v>0</v>
      </c>
      <c r="N72" s="653">
        <v>0</v>
      </c>
    </row>
    <row r="73" spans="1:14" ht="24" customHeight="1">
      <c r="A73" s="189">
        <v>30</v>
      </c>
      <c r="B73" s="179" t="s">
        <v>1240</v>
      </c>
      <c r="C73" s="193" t="s">
        <v>362</v>
      </c>
      <c r="D73" s="191"/>
      <c r="E73" s="192"/>
      <c r="F73" s="192"/>
      <c r="G73" s="645"/>
      <c r="H73" s="645"/>
      <c r="I73" s="645"/>
      <c r="J73" s="645"/>
      <c r="K73" s="645"/>
      <c r="L73" s="645"/>
      <c r="M73" s="645"/>
      <c r="N73" s="645"/>
    </row>
    <row r="74" spans="1:14" ht="24" customHeight="1">
      <c r="A74" s="189"/>
      <c r="B74" s="218" t="s">
        <v>771</v>
      </c>
      <c r="C74" s="193" t="s">
        <v>363</v>
      </c>
      <c r="D74" s="191" t="s">
        <v>233</v>
      </c>
      <c r="E74" s="192">
        <v>590000</v>
      </c>
      <c r="F74" s="192">
        <v>590000</v>
      </c>
      <c r="G74" s="645">
        <v>8.33</v>
      </c>
      <c r="H74" s="645">
        <v>8.33</v>
      </c>
      <c r="I74" s="645">
        <v>49167000</v>
      </c>
      <c r="J74" s="645">
        <v>49167000</v>
      </c>
      <c r="K74" s="645">
        <v>49167000</v>
      </c>
      <c r="L74" s="645">
        <v>49167000</v>
      </c>
      <c r="M74" s="653">
        <v>0</v>
      </c>
      <c r="N74" s="653">
        <v>0</v>
      </c>
    </row>
    <row r="75" spans="1:14" ht="24" customHeight="1">
      <c r="A75" s="189">
        <v>31</v>
      </c>
      <c r="B75" s="190" t="s">
        <v>380</v>
      </c>
      <c r="C75" s="191" t="s">
        <v>322</v>
      </c>
      <c r="D75" s="193" t="s">
        <v>233</v>
      </c>
      <c r="E75" s="204">
        <v>3200000</v>
      </c>
      <c r="F75" s="204">
        <v>2000000</v>
      </c>
      <c r="G75" s="643">
        <v>3.65</v>
      </c>
      <c r="H75" s="643">
        <v>2.4245</v>
      </c>
      <c r="I75" s="643">
        <v>112625862</v>
      </c>
      <c r="J75" s="643">
        <v>47123280</v>
      </c>
      <c r="K75" s="643">
        <v>112625862</v>
      </c>
      <c r="L75" s="643">
        <v>47123280</v>
      </c>
      <c r="M75" s="653">
        <v>0</v>
      </c>
      <c r="N75" s="643">
        <v>0</v>
      </c>
    </row>
    <row r="76" spans="1:14" ht="24" customHeight="1">
      <c r="A76" s="189">
        <v>32</v>
      </c>
      <c r="B76" s="218" t="s">
        <v>545</v>
      </c>
      <c r="C76" s="219" t="s">
        <v>546</v>
      </c>
      <c r="D76" s="191" t="s">
        <v>233</v>
      </c>
      <c r="E76" s="194">
        <v>240000</v>
      </c>
      <c r="F76" s="194">
        <v>240000</v>
      </c>
      <c r="G76" s="643">
        <v>16.67</v>
      </c>
      <c r="H76" s="643">
        <v>16.67</v>
      </c>
      <c r="I76" s="643">
        <v>40000000</v>
      </c>
      <c r="J76" s="643">
        <v>40000000</v>
      </c>
      <c r="K76" s="643">
        <v>40000000</v>
      </c>
      <c r="L76" s="643">
        <v>40000000</v>
      </c>
      <c r="M76" s="653">
        <v>0</v>
      </c>
      <c r="N76" s="653">
        <v>0</v>
      </c>
    </row>
    <row r="77" spans="1:14" ht="24" customHeight="1">
      <c r="A77" s="189">
        <v>33</v>
      </c>
      <c r="B77" s="218" t="s">
        <v>463</v>
      </c>
      <c r="C77" s="219" t="s">
        <v>231</v>
      </c>
      <c r="D77" s="191" t="s">
        <v>178</v>
      </c>
      <c r="E77" s="192">
        <v>350000</v>
      </c>
      <c r="F77" s="192">
        <v>350000</v>
      </c>
      <c r="G77" s="645">
        <v>9.24</v>
      </c>
      <c r="H77" s="645">
        <v>9.24</v>
      </c>
      <c r="I77" s="645">
        <v>39574300</v>
      </c>
      <c r="J77" s="645">
        <v>39574300</v>
      </c>
      <c r="K77" s="645">
        <v>39574300</v>
      </c>
      <c r="L77" s="645">
        <v>39574300</v>
      </c>
      <c r="M77" s="653">
        <v>1617845</v>
      </c>
      <c r="N77" s="645">
        <v>3235690</v>
      </c>
    </row>
    <row r="78" spans="1:14" ht="24" customHeight="1">
      <c r="A78" s="189">
        <v>34</v>
      </c>
      <c r="B78" s="190" t="s">
        <v>859</v>
      </c>
      <c r="C78" s="191" t="s">
        <v>303</v>
      </c>
      <c r="D78" s="193" t="s">
        <v>233</v>
      </c>
      <c r="E78" s="204">
        <v>1200000</v>
      </c>
      <c r="F78" s="204">
        <v>1200000</v>
      </c>
      <c r="G78" s="643">
        <v>3</v>
      </c>
      <c r="H78" s="643">
        <v>3</v>
      </c>
      <c r="I78" s="643">
        <v>36000000</v>
      </c>
      <c r="J78" s="643">
        <v>36000000</v>
      </c>
      <c r="K78" s="643">
        <v>36000000</v>
      </c>
      <c r="L78" s="643">
        <v>36000000</v>
      </c>
      <c r="M78" s="653">
        <v>10800000</v>
      </c>
      <c r="N78" s="653">
        <v>10800000</v>
      </c>
    </row>
    <row r="79" spans="1:14" ht="24" customHeight="1">
      <c r="A79" s="189">
        <v>35</v>
      </c>
      <c r="B79" s="190" t="s">
        <v>444</v>
      </c>
      <c r="C79" s="191" t="s">
        <v>299</v>
      </c>
      <c r="D79" s="193" t="s">
        <v>178</v>
      </c>
      <c r="E79" s="204">
        <v>145000</v>
      </c>
      <c r="F79" s="204">
        <v>145000</v>
      </c>
      <c r="G79" s="643">
        <v>15</v>
      </c>
      <c r="H79" s="643">
        <v>15</v>
      </c>
      <c r="I79" s="643">
        <v>34339805.49</v>
      </c>
      <c r="J79" s="643">
        <v>34339805.49</v>
      </c>
      <c r="K79" s="643">
        <v>34339805.49</v>
      </c>
      <c r="L79" s="643">
        <v>34339805.49</v>
      </c>
      <c r="M79" s="653">
        <v>0</v>
      </c>
      <c r="N79" s="643">
        <v>0</v>
      </c>
    </row>
    <row r="80" spans="1:14" ht="24" customHeight="1">
      <c r="A80" s="189">
        <v>36</v>
      </c>
      <c r="B80" s="218" t="s">
        <v>484</v>
      </c>
      <c r="C80" s="219" t="s">
        <v>485</v>
      </c>
      <c r="D80" s="191"/>
      <c r="E80" s="194"/>
      <c r="F80" s="194"/>
      <c r="G80" s="643"/>
      <c r="H80" s="643"/>
      <c r="I80" s="643"/>
      <c r="J80" s="643"/>
      <c r="K80" s="643"/>
      <c r="L80" s="643"/>
      <c r="M80" s="653"/>
      <c r="N80" s="653"/>
    </row>
    <row r="81" spans="1:14" ht="24" customHeight="1">
      <c r="A81" s="189"/>
      <c r="B81" s="218" t="s">
        <v>486</v>
      </c>
      <c r="C81" s="219" t="s">
        <v>156</v>
      </c>
      <c r="D81" s="191" t="s">
        <v>230</v>
      </c>
      <c r="E81" s="648" t="s">
        <v>487</v>
      </c>
      <c r="F81" s="648" t="s">
        <v>487</v>
      </c>
      <c r="G81" s="643">
        <v>10</v>
      </c>
      <c r="H81" s="643">
        <v>10</v>
      </c>
      <c r="I81" s="643">
        <v>32182363.55</v>
      </c>
      <c r="J81" s="643">
        <v>32182363.55</v>
      </c>
      <c r="K81" s="643">
        <v>32182363.55</v>
      </c>
      <c r="L81" s="643">
        <v>32182363.55</v>
      </c>
      <c r="M81" s="653">
        <v>0</v>
      </c>
      <c r="N81" s="653">
        <v>0</v>
      </c>
    </row>
    <row r="82" spans="1:14" ht="24" customHeight="1">
      <c r="A82" s="189">
        <v>37</v>
      </c>
      <c r="B82" s="218" t="s">
        <v>384</v>
      </c>
      <c r="C82" s="219" t="s">
        <v>385</v>
      </c>
      <c r="D82" s="191" t="s">
        <v>741</v>
      </c>
      <c r="E82" s="225">
        <v>300000</v>
      </c>
      <c r="F82" s="225">
        <v>300000</v>
      </c>
      <c r="G82" s="643">
        <v>9</v>
      </c>
      <c r="H82" s="643">
        <v>9</v>
      </c>
      <c r="I82" s="653">
        <v>27000000</v>
      </c>
      <c r="J82" s="653">
        <v>27000000</v>
      </c>
      <c r="K82" s="653">
        <v>27000000</v>
      </c>
      <c r="L82" s="653">
        <v>27000000</v>
      </c>
      <c r="M82" s="653">
        <v>0</v>
      </c>
      <c r="N82" s="653">
        <v>0</v>
      </c>
    </row>
    <row r="83" spans="1:14" ht="24" customHeight="1">
      <c r="A83" s="189">
        <v>38</v>
      </c>
      <c r="B83" s="190" t="s">
        <v>860</v>
      </c>
      <c r="C83" s="191" t="s">
        <v>289</v>
      </c>
      <c r="D83" s="193" t="s">
        <v>233</v>
      </c>
      <c r="E83" s="204">
        <v>143220</v>
      </c>
      <c r="F83" s="204">
        <v>143220</v>
      </c>
      <c r="G83" s="643">
        <v>19.55</v>
      </c>
      <c r="H83" s="643">
        <v>19.55</v>
      </c>
      <c r="I83" s="643">
        <v>26764312.5</v>
      </c>
      <c r="J83" s="643">
        <v>26764312.5</v>
      </c>
      <c r="K83" s="643">
        <v>26764312.5</v>
      </c>
      <c r="L83" s="643">
        <v>26764312.5</v>
      </c>
      <c r="M83" s="653">
        <v>1120000</v>
      </c>
      <c r="N83" s="653">
        <v>0</v>
      </c>
    </row>
    <row r="84" spans="1:14" ht="24" customHeight="1">
      <c r="A84" s="189">
        <v>39</v>
      </c>
      <c r="B84" s="190" t="s">
        <v>763</v>
      </c>
      <c r="C84" s="193" t="s">
        <v>158</v>
      </c>
      <c r="D84" s="193" t="s">
        <v>178</v>
      </c>
      <c r="E84" s="192">
        <v>260000</v>
      </c>
      <c r="F84" s="192">
        <v>260000</v>
      </c>
      <c r="G84" s="645">
        <v>10</v>
      </c>
      <c r="H84" s="645">
        <v>10</v>
      </c>
      <c r="I84" s="645">
        <v>26000000</v>
      </c>
      <c r="J84" s="645">
        <v>26000000</v>
      </c>
      <c r="K84" s="645">
        <v>26000000</v>
      </c>
      <c r="L84" s="645">
        <v>26000000</v>
      </c>
      <c r="M84" s="643">
        <v>5200000</v>
      </c>
      <c r="N84" s="643">
        <v>4680000</v>
      </c>
    </row>
    <row r="85" spans="1:14" ht="24" customHeight="1">
      <c r="A85" s="189">
        <v>40</v>
      </c>
      <c r="B85" s="190" t="s">
        <v>1306</v>
      </c>
      <c r="C85" s="191" t="s">
        <v>593</v>
      </c>
      <c r="D85" s="193" t="s">
        <v>182</v>
      </c>
      <c r="E85" s="654">
        <v>142000</v>
      </c>
      <c r="F85" s="313">
        <v>0</v>
      </c>
      <c r="G85" s="643">
        <v>18.75</v>
      </c>
      <c r="H85" s="313">
        <v>0</v>
      </c>
      <c r="I85" s="643">
        <v>26625000</v>
      </c>
      <c r="J85" s="313">
        <v>0</v>
      </c>
      <c r="K85" s="643">
        <v>26625000</v>
      </c>
      <c r="L85" s="313">
        <v>0</v>
      </c>
      <c r="M85" s="653">
        <v>0</v>
      </c>
      <c r="N85" s="365">
        <v>0</v>
      </c>
    </row>
    <row r="86" spans="1:14" ht="24" customHeight="1">
      <c r="A86" s="189">
        <v>41</v>
      </c>
      <c r="B86" s="190" t="s">
        <v>447</v>
      </c>
      <c r="C86" s="191" t="s">
        <v>304</v>
      </c>
      <c r="D86" s="193" t="s">
        <v>233</v>
      </c>
      <c r="E86" s="204">
        <v>237500</v>
      </c>
      <c r="F86" s="204">
        <v>237500</v>
      </c>
      <c r="G86" s="643">
        <v>10</v>
      </c>
      <c r="H86" s="643">
        <v>10</v>
      </c>
      <c r="I86" s="643">
        <v>23760000</v>
      </c>
      <c r="J86" s="643">
        <v>23760000</v>
      </c>
      <c r="K86" s="643">
        <v>23760000</v>
      </c>
      <c r="L86" s="643">
        <v>23760000</v>
      </c>
      <c r="M86" s="643">
        <f>950400+2376000</f>
        <v>3326400</v>
      </c>
      <c r="N86" s="643">
        <v>950400</v>
      </c>
    </row>
    <row r="87" spans="1:14" ht="24" customHeight="1">
      <c r="A87" s="189">
        <v>42</v>
      </c>
      <c r="B87" s="190" t="s">
        <v>1243</v>
      </c>
      <c r="C87" s="191" t="s">
        <v>185</v>
      </c>
      <c r="D87" s="193" t="s">
        <v>230</v>
      </c>
      <c r="E87" s="654">
        <v>950000</v>
      </c>
      <c r="F87" s="313">
        <v>0</v>
      </c>
      <c r="G87" s="643">
        <v>2.5</v>
      </c>
      <c r="H87" s="313">
        <v>0</v>
      </c>
      <c r="I87" s="643">
        <v>23750000</v>
      </c>
      <c r="J87" s="313">
        <v>0</v>
      </c>
      <c r="K87" s="643">
        <v>23750000</v>
      </c>
      <c r="L87" s="313">
        <v>0</v>
      </c>
      <c r="M87" s="653">
        <v>0</v>
      </c>
      <c r="N87" s="365">
        <v>0</v>
      </c>
    </row>
    <row r="88" spans="1:14" ht="24" customHeight="1">
      <c r="A88" s="189">
        <v>43</v>
      </c>
      <c r="B88" s="218" t="s">
        <v>456</v>
      </c>
      <c r="C88" s="219" t="s">
        <v>140</v>
      </c>
      <c r="D88" s="191"/>
      <c r="E88" s="192"/>
      <c r="F88" s="192"/>
      <c r="G88" s="645"/>
      <c r="H88" s="645"/>
      <c r="I88" s="645"/>
      <c r="J88" s="645"/>
      <c r="K88" s="645"/>
      <c r="L88" s="645"/>
      <c r="M88" s="645"/>
      <c r="N88" s="645"/>
    </row>
    <row r="89" spans="1:14" ht="24" customHeight="1">
      <c r="A89" s="223"/>
      <c r="B89" s="218"/>
      <c r="C89" s="219" t="s">
        <v>189</v>
      </c>
      <c r="D89" s="191" t="s">
        <v>230</v>
      </c>
      <c r="E89" s="192">
        <v>180000</v>
      </c>
      <c r="F89" s="192">
        <v>180000</v>
      </c>
      <c r="G89" s="645">
        <v>12.5</v>
      </c>
      <c r="H89" s="645">
        <v>12.5</v>
      </c>
      <c r="I89" s="645">
        <v>22500000</v>
      </c>
      <c r="J89" s="645">
        <v>22500000</v>
      </c>
      <c r="K89" s="645">
        <v>22500000</v>
      </c>
      <c r="L89" s="645">
        <v>22500000</v>
      </c>
      <c r="M89" s="653">
        <v>0</v>
      </c>
      <c r="N89" s="653">
        <v>0</v>
      </c>
    </row>
    <row r="90" spans="1:14" ht="24" customHeight="1">
      <c r="A90" s="189">
        <v>44</v>
      </c>
      <c r="B90" s="218" t="s">
        <v>457</v>
      </c>
      <c r="C90" s="219" t="s">
        <v>153</v>
      </c>
      <c r="D90" s="191" t="s">
        <v>233</v>
      </c>
      <c r="E90" s="192">
        <v>180000</v>
      </c>
      <c r="F90" s="192">
        <v>180000</v>
      </c>
      <c r="G90" s="645">
        <v>11</v>
      </c>
      <c r="H90" s="645">
        <v>11</v>
      </c>
      <c r="I90" s="645">
        <v>19800000</v>
      </c>
      <c r="J90" s="645">
        <v>19800000</v>
      </c>
      <c r="K90" s="645">
        <v>19800000</v>
      </c>
      <c r="L90" s="645">
        <v>19800000</v>
      </c>
      <c r="M90" s="653">
        <v>0</v>
      </c>
      <c r="N90" s="653">
        <v>0</v>
      </c>
    </row>
    <row r="91" spans="1:14" ht="24" customHeight="1">
      <c r="A91" s="189">
        <v>45</v>
      </c>
      <c r="B91" s="190" t="s">
        <v>450</v>
      </c>
      <c r="C91" s="191" t="s">
        <v>313</v>
      </c>
      <c r="D91" s="193"/>
      <c r="E91" s="204"/>
      <c r="F91" s="204"/>
      <c r="G91" s="643"/>
      <c r="H91" s="643"/>
      <c r="I91" s="643"/>
      <c r="J91" s="643"/>
      <c r="K91" s="643"/>
      <c r="L91" s="643"/>
      <c r="M91" s="643"/>
      <c r="N91" s="643"/>
    </row>
    <row r="92" spans="1:14" ht="24" customHeight="1">
      <c r="A92" s="189"/>
      <c r="C92" s="191" t="s">
        <v>314</v>
      </c>
      <c r="D92" s="193" t="s">
        <v>233</v>
      </c>
      <c r="E92" s="204">
        <v>126000</v>
      </c>
      <c r="F92" s="204">
        <v>126000</v>
      </c>
      <c r="G92" s="643">
        <v>14.75</v>
      </c>
      <c r="H92" s="643">
        <v>14.75</v>
      </c>
      <c r="I92" s="643">
        <v>19202504.36</v>
      </c>
      <c r="J92" s="643">
        <v>19202504.36</v>
      </c>
      <c r="K92" s="643">
        <v>19202504.36</v>
      </c>
      <c r="L92" s="643">
        <v>19202504.36</v>
      </c>
      <c r="M92" s="653">
        <v>442500</v>
      </c>
      <c r="N92" s="643">
        <v>442500</v>
      </c>
    </row>
    <row r="93" spans="1:14" ht="24" customHeight="1">
      <c r="A93" s="189">
        <v>46</v>
      </c>
      <c r="B93" s="218" t="s">
        <v>1241</v>
      </c>
      <c r="C93" s="219" t="s">
        <v>159</v>
      </c>
      <c r="D93" s="191"/>
      <c r="E93" s="192"/>
      <c r="F93" s="192"/>
      <c r="G93" s="645"/>
      <c r="H93" s="645"/>
      <c r="I93" s="645"/>
      <c r="J93" s="645"/>
      <c r="K93" s="645"/>
      <c r="L93" s="645"/>
      <c r="M93" s="653"/>
      <c r="N93" s="653"/>
    </row>
    <row r="94" spans="1:14" ht="24" customHeight="1">
      <c r="A94" s="189"/>
      <c r="B94" s="218" t="s">
        <v>1242</v>
      </c>
      <c r="C94" s="219" t="s">
        <v>160</v>
      </c>
      <c r="D94" s="191" t="s">
        <v>179</v>
      </c>
      <c r="E94" s="192">
        <v>120000</v>
      </c>
      <c r="F94" s="192">
        <v>120000</v>
      </c>
      <c r="G94" s="645">
        <v>15.6</v>
      </c>
      <c r="H94" s="645">
        <v>15.6</v>
      </c>
      <c r="I94" s="645">
        <v>18720000</v>
      </c>
      <c r="J94" s="645">
        <v>18720000</v>
      </c>
      <c r="K94" s="645">
        <v>18720000</v>
      </c>
      <c r="L94" s="645">
        <v>18720000</v>
      </c>
      <c r="M94" s="653">
        <v>3744000</v>
      </c>
      <c r="N94" s="653">
        <v>3744000</v>
      </c>
    </row>
    <row r="95" spans="1:14" ht="24" customHeight="1">
      <c r="A95" s="189">
        <v>47</v>
      </c>
      <c r="B95" s="218" t="s">
        <v>461</v>
      </c>
      <c r="C95" s="219" t="s">
        <v>157</v>
      </c>
      <c r="D95" s="191" t="s">
        <v>280</v>
      </c>
      <c r="E95" s="192">
        <v>67125</v>
      </c>
      <c r="F95" s="192">
        <v>67125</v>
      </c>
      <c r="G95" s="645">
        <v>9.13</v>
      </c>
      <c r="H95" s="645">
        <v>9.13</v>
      </c>
      <c r="I95" s="645">
        <v>17550000</v>
      </c>
      <c r="J95" s="645">
        <v>17550000</v>
      </c>
      <c r="K95" s="645">
        <v>17550000</v>
      </c>
      <c r="L95" s="645">
        <v>17550000</v>
      </c>
      <c r="M95" s="653">
        <v>0</v>
      </c>
      <c r="N95" s="653">
        <v>0</v>
      </c>
    </row>
    <row r="96" spans="1:14" ht="24" customHeight="1">
      <c r="A96" s="189">
        <v>48</v>
      </c>
      <c r="B96" s="218" t="s">
        <v>467</v>
      </c>
      <c r="C96" s="219" t="s">
        <v>166</v>
      </c>
      <c r="D96" s="191" t="s">
        <v>233</v>
      </c>
      <c r="E96" s="192">
        <v>145000</v>
      </c>
      <c r="F96" s="192">
        <v>145000</v>
      </c>
      <c r="G96" s="645">
        <v>10.52</v>
      </c>
      <c r="H96" s="645">
        <v>10.52</v>
      </c>
      <c r="I96" s="645">
        <v>15250000</v>
      </c>
      <c r="J96" s="645">
        <v>15250000</v>
      </c>
      <c r="K96" s="645">
        <v>15250000</v>
      </c>
      <c r="L96" s="645">
        <v>15250000</v>
      </c>
      <c r="M96" s="653">
        <v>0</v>
      </c>
      <c r="N96" s="653">
        <v>0</v>
      </c>
    </row>
    <row r="97" spans="1:14" ht="24" customHeight="1">
      <c r="A97" s="189">
        <v>49</v>
      </c>
      <c r="B97" s="190" t="s">
        <v>443</v>
      </c>
      <c r="C97" s="191" t="s">
        <v>298</v>
      </c>
      <c r="D97" s="193" t="s">
        <v>742</v>
      </c>
      <c r="E97" s="204">
        <v>127000</v>
      </c>
      <c r="F97" s="204">
        <v>127000</v>
      </c>
      <c r="G97" s="643">
        <v>8.78</v>
      </c>
      <c r="H97" s="643">
        <v>8.78</v>
      </c>
      <c r="I97" s="643">
        <v>15053034.16</v>
      </c>
      <c r="J97" s="643">
        <v>15053034.16</v>
      </c>
      <c r="K97" s="643">
        <v>15053034.16</v>
      </c>
      <c r="L97" s="643">
        <v>15053034.16</v>
      </c>
      <c r="M97" s="653">
        <v>1672500</v>
      </c>
      <c r="N97" s="643">
        <v>1672500</v>
      </c>
    </row>
    <row r="98" spans="1:14" ht="24" customHeight="1">
      <c r="A98" s="189">
        <v>50</v>
      </c>
      <c r="B98" s="222" t="s">
        <v>471</v>
      </c>
      <c r="C98" s="191" t="s">
        <v>349</v>
      </c>
      <c r="D98" s="191" t="s">
        <v>228</v>
      </c>
      <c r="E98" s="194">
        <v>100000</v>
      </c>
      <c r="F98" s="194">
        <v>100000</v>
      </c>
      <c r="G98" s="643">
        <v>15</v>
      </c>
      <c r="H98" s="643">
        <v>15</v>
      </c>
      <c r="I98" s="643">
        <v>15000000</v>
      </c>
      <c r="J98" s="643">
        <v>15000000</v>
      </c>
      <c r="K98" s="643">
        <v>15000000</v>
      </c>
      <c r="L98" s="643">
        <v>15000000</v>
      </c>
      <c r="M98" s="653">
        <v>0</v>
      </c>
      <c r="N98" s="653">
        <v>0</v>
      </c>
    </row>
    <row r="99" spans="1:14" ht="24" customHeight="1">
      <c r="A99" s="189">
        <v>51</v>
      </c>
      <c r="B99" s="212" t="s">
        <v>861</v>
      </c>
      <c r="C99" s="213" t="s">
        <v>198</v>
      </c>
      <c r="D99" s="214"/>
      <c r="E99" s="215"/>
      <c r="F99" s="215"/>
      <c r="G99" s="645"/>
      <c r="H99" s="645"/>
      <c r="I99" s="645"/>
      <c r="J99" s="645"/>
      <c r="K99" s="645"/>
      <c r="L99" s="645"/>
      <c r="M99" s="653"/>
      <c r="N99" s="645"/>
    </row>
    <row r="100" spans="1:14" ht="24" customHeight="1">
      <c r="A100" s="223"/>
      <c r="B100" s="212" t="s">
        <v>862</v>
      </c>
      <c r="C100" s="213" t="s">
        <v>352</v>
      </c>
      <c r="D100" s="216" t="s">
        <v>280</v>
      </c>
      <c r="E100" s="215">
        <v>80000</v>
      </c>
      <c r="F100" s="215">
        <v>80000</v>
      </c>
      <c r="G100" s="645">
        <v>16.33</v>
      </c>
      <c r="H100" s="645">
        <v>16.33</v>
      </c>
      <c r="I100" s="645">
        <v>13066600</v>
      </c>
      <c r="J100" s="645">
        <v>13066600</v>
      </c>
      <c r="K100" s="645">
        <v>13066600</v>
      </c>
      <c r="L100" s="645">
        <v>13066600</v>
      </c>
      <c r="M100" s="653">
        <v>0</v>
      </c>
      <c r="N100" s="653">
        <v>0</v>
      </c>
    </row>
    <row r="101" spans="1:14" ht="24" customHeight="1">
      <c r="A101" s="189">
        <v>52</v>
      </c>
      <c r="B101" s="190" t="s">
        <v>448</v>
      </c>
      <c r="C101" s="191" t="s">
        <v>308</v>
      </c>
      <c r="D101" s="193" t="s">
        <v>233</v>
      </c>
      <c r="E101" s="204">
        <v>97400</v>
      </c>
      <c r="F101" s="204">
        <v>97400</v>
      </c>
      <c r="G101" s="643">
        <v>9</v>
      </c>
      <c r="H101" s="643">
        <v>9</v>
      </c>
      <c r="I101" s="643">
        <v>12416490</v>
      </c>
      <c r="J101" s="643">
        <v>12416490</v>
      </c>
      <c r="K101" s="643">
        <v>12416490</v>
      </c>
      <c r="L101" s="643">
        <v>12416490</v>
      </c>
      <c r="M101" s="653">
        <v>2191500</v>
      </c>
      <c r="N101" s="653">
        <v>2191500</v>
      </c>
    </row>
    <row r="102" spans="1:14" ht="24" customHeight="1">
      <c r="A102" s="189">
        <v>53</v>
      </c>
      <c r="B102" s="198" t="s">
        <v>464</v>
      </c>
      <c r="C102" s="219" t="s">
        <v>162</v>
      </c>
      <c r="D102" s="191" t="s">
        <v>179</v>
      </c>
      <c r="E102" s="192">
        <v>100000</v>
      </c>
      <c r="F102" s="192">
        <v>100000</v>
      </c>
      <c r="G102" s="645">
        <v>12</v>
      </c>
      <c r="H102" s="645">
        <v>12</v>
      </c>
      <c r="I102" s="645">
        <v>12000000</v>
      </c>
      <c r="J102" s="645">
        <v>12000000</v>
      </c>
      <c r="K102" s="645">
        <v>12000000</v>
      </c>
      <c r="L102" s="645">
        <v>12000000</v>
      </c>
      <c r="M102" s="653">
        <v>1200000</v>
      </c>
      <c r="N102" s="653">
        <v>1200000</v>
      </c>
    </row>
    <row r="103" spans="1:14" ht="24" customHeight="1">
      <c r="A103" s="189">
        <v>54</v>
      </c>
      <c r="B103" s="190" t="s">
        <v>764</v>
      </c>
      <c r="C103" s="191" t="s">
        <v>302</v>
      </c>
      <c r="D103" s="193" t="s">
        <v>178</v>
      </c>
      <c r="E103" s="204">
        <v>100000</v>
      </c>
      <c r="F103" s="204">
        <v>100000</v>
      </c>
      <c r="G103" s="643">
        <v>11.77</v>
      </c>
      <c r="H103" s="643">
        <v>11.77</v>
      </c>
      <c r="I103" s="643">
        <v>11773620</v>
      </c>
      <c r="J103" s="643">
        <v>11773620</v>
      </c>
      <c r="K103" s="643">
        <v>11773620</v>
      </c>
      <c r="L103" s="643">
        <v>11773620</v>
      </c>
      <c r="M103" s="643">
        <v>82415340</v>
      </c>
      <c r="N103" s="643">
        <v>86148450</v>
      </c>
    </row>
    <row r="104" spans="1:14" ht="24" customHeight="1">
      <c r="A104" s="189">
        <v>55</v>
      </c>
      <c r="B104" s="190" t="s">
        <v>451</v>
      </c>
      <c r="C104" s="191" t="s">
        <v>319</v>
      </c>
      <c r="D104" s="193" t="s">
        <v>228</v>
      </c>
      <c r="E104" s="204">
        <v>3013000</v>
      </c>
      <c r="F104" s="204">
        <v>3013000</v>
      </c>
      <c r="G104" s="643">
        <v>0.37</v>
      </c>
      <c r="H104" s="643">
        <v>0.37</v>
      </c>
      <c r="I104" s="643">
        <v>11000000</v>
      </c>
      <c r="J104" s="643">
        <v>11000000</v>
      </c>
      <c r="K104" s="643">
        <v>11000000</v>
      </c>
      <c r="L104" s="643">
        <v>11000000</v>
      </c>
      <c r="M104" s="653">
        <v>0</v>
      </c>
      <c r="N104" s="653">
        <v>0</v>
      </c>
    </row>
    <row r="105" spans="1:14" ht="24" customHeight="1">
      <c r="A105" s="189">
        <v>56</v>
      </c>
      <c r="B105" s="179" t="s">
        <v>863</v>
      </c>
      <c r="C105" s="193" t="s">
        <v>353</v>
      </c>
      <c r="E105" s="192"/>
      <c r="F105" s="192"/>
      <c r="G105" s="645"/>
      <c r="H105" s="645"/>
      <c r="I105" s="645"/>
      <c r="J105" s="645"/>
      <c r="K105" s="645"/>
      <c r="L105" s="645"/>
      <c r="M105" s="645"/>
      <c r="N105" s="645"/>
    </row>
    <row r="106" spans="1:14" ht="24" customHeight="1">
      <c r="A106" s="223"/>
      <c r="B106" s="179" t="s">
        <v>309</v>
      </c>
      <c r="C106" s="193" t="s">
        <v>354</v>
      </c>
      <c r="D106" s="191" t="s">
        <v>179</v>
      </c>
      <c r="E106" s="192">
        <v>70000</v>
      </c>
      <c r="F106" s="192">
        <v>70000</v>
      </c>
      <c r="G106" s="645">
        <v>15</v>
      </c>
      <c r="H106" s="645">
        <v>15</v>
      </c>
      <c r="I106" s="645">
        <v>10500000</v>
      </c>
      <c r="J106" s="645">
        <v>10500000</v>
      </c>
      <c r="K106" s="645">
        <v>10500000</v>
      </c>
      <c r="L106" s="645">
        <v>10500000</v>
      </c>
      <c r="M106" s="653">
        <v>1289400</v>
      </c>
      <c r="N106" s="653">
        <v>1808100</v>
      </c>
    </row>
    <row r="107" spans="1:14" ht="24" customHeight="1">
      <c r="A107" s="189">
        <v>57</v>
      </c>
      <c r="B107" s="190" t="s">
        <v>449</v>
      </c>
      <c r="C107" s="191" t="s">
        <v>311</v>
      </c>
      <c r="D107" s="193" t="s">
        <v>233</v>
      </c>
      <c r="E107" s="204">
        <v>121500</v>
      </c>
      <c r="F107" s="204">
        <v>121500</v>
      </c>
      <c r="G107" s="643">
        <v>12.41</v>
      </c>
      <c r="H107" s="643">
        <v>12.41</v>
      </c>
      <c r="I107" s="643">
        <v>10080960</v>
      </c>
      <c r="J107" s="643">
        <v>10080960</v>
      </c>
      <c r="K107" s="643">
        <v>10080960</v>
      </c>
      <c r="L107" s="643">
        <v>10080960</v>
      </c>
      <c r="M107" s="653">
        <v>1508280</v>
      </c>
      <c r="N107" s="653">
        <v>150828</v>
      </c>
    </row>
    <row r="108" spans="1:14" ht="24" customHeight="1">
      <c r="A108" s="189">
        <v>58</v>
      </c>
      <c r="B108" s="179" t="s">
        <v>864</v>
      </c>
      <c r="C108" s="193" t="s">
        <v>368</v>
      </c>
      <c r="D108" s="191" t="s">
        <v>178</v>
      </c>
      <c r="E108" s="192">
        <v>300000</v>
      </c>
      <c r="F108" s="192">
        <v>100000</v>
      </c>
      <c r="G108" s="645">
        <v>10</v>
      </c>
      <c r="H108" s="645">
        <v>10</v>
      </c>
      <c r="I108" s="645">
        <v>30000000</v>
      </c>
      <c r="J108" s="645">
        <v>10000000</v>
      </c>
      <c r="K108" s="645">
        <v>30000000</v>
      </c>
      <c r="L108" s="645">
        <v>10000000</v>
      </c>
      <c r="M108" s="653">
        <f>1000000+20000000</f>
        <v>21000000</v>
      </c>
      <c r="N108" s="653">
        <v>1000000</v>
      </c>
    </row>
    <row r="109" spans="1:14" ht="24" customHeight="1">
      <c r="A109" s="189">
        <v>59</v>
      </c>
      <c r="B109" s="190" t="s">
        <v>1307</v>
      </c>
      <c r="C109" s="191" t="s">
        <v>321</v>
      </c>
      <c r="D109" s="193" t="s">
        <v>178</v>
      </c>
      <c r="E109" s="204">
        <v>200000</v>
      </c>
      <c r="F109" s="204">
        <v>200000</v>
      </c>
      <c r="G109" s="643">
        <v>6</v>
      </c>
      <c r="H109" s="643">
        <v>6</v>
      </c>
      <c r="I109" s="643">
        <v>10000000</v>
      </c>
      <c r="J109" s="643">
        <v>10000000</v>
      </c>
      <c r="K109" s="643">
        <v>10000000</v>
      </c>
      <c r="L109" s="643">
        <v>10000000</v>
      </c>
      <c r="M109" s="653">
        <v>0</v>
      </c>
      <c r="N109" s="653">
        <v>0</v>
      </c>
    </row>
    <row r="110" spans="1:14" ht="24.75" customHeight="1">
      <c r="A110" s="189"/>
      <c r="B110" s="190"/>
      <c r="C110" s="191"/>
      <c r="D110" s="193"/>
      <c r="E110" s="204"/>
      <c r="F110" s="204"/>
      <c r="G110" s="201"/>
      <c r="H110" s="201"/>
      <c r="I110" s="195"/>
      <c r="J110" s="195"/>
      <c r="K110" s="195"/>
      <c r="L110" s="195"/>
      <c r="M110" s="205"/>
      <c r="N110" s="195"/>
    </row>
    <row r="111" spans="1:14" ht="24.75" customHeight="1">
      <c r="A111" s="189"/>
      <c r="B111" s="190"/>
      <c r="C111" s="191"/>
      <c r="D111" s="193"/>
      <c r="E111" s="204"/>
      <c r="F111" s="204"/>
      <c r="G111" s="201"/>
      <c r="H111" s="201"/>
      <c r="I111" s="195"/>
      <c r="J111" s="195"/>
      <c r="K111" s="195"/>
      <c r="L111" s="195"/>
      <c r="M111" s="205"/>
      <c r="N111" s="195"/>
    </row>
    <row r="112" spans="1:14" ht="24.75" customHeight="1">
      <c r="A112" s="189"/>
      <c r="B112" s="190"/>
      <c r="C112" s="191"/>
      <c r="D112" s="193"/>
      <c r="E112" s="204"/>
      <c r="F112" s="204"/>
      <c r="G112" s="201"/>
      <c r="H112" s="201"/>
      <c r="I112" s="195"/>
      <c r="J112" s="195"/>
      <c r="K112" s="195"/>
      <c r="L112" s="195"/>
      <c r="M112" s="205"/>
      <c r="N112" s="195"/>
    </row>
    <row r="113" spans="1:16" s="208" customFormat="1" ht="24.75" customHeight="1">
      <c r="A113" s="206" t="s">
        <v>1236</v>
      </c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P113" s="179"/>
    </row>
    <row r="115" spans="1:14" ht="24.75" customHeight="1">
      <c r="A115" s="178" t="s">
        <v>1628</v>
      </c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</row>
    <row r="116" spans="1:14" ht="17.25" customHeight="1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</row>
    <row r="117" spans="1:16" s="181" customFormat="1" ht="24.75" customHeight="1">
      <c r="A117" s="182" t="s">
        <v>1237</v>
      </c>
      <c r="B117" s="183"/>
      <c r="C117" s="210"/>
      <c r="D117" s="210"/>
      <c r="E117" s="183"/>
      <c r="F117" s="183"/>
      <c r="G117" s="184"/>
      <c r="H117" s="184"/>
      <c r="I117" s="184"/>
      <c r="J117" s="184"/>
      <c r="K117" s="184"/>
      <c r="L117" s="184"/>
      <c r="M117" s="183"/>
      <c r="N117" s="183"/>
      <c r="P117" s="179"/>
    </row>
    <row r="118" spans="1:16" s="181" customFormat="1" ht="24" customHeight="1">
      <c r="A118" s="185" t="s">
        <v>221</v>
      </c>
      <c r="B118" s="185" t="s">
        <v>281</v>
      </c>
      <c r="C118" s="185" t="s">
        <v>239</v>
      </c>
      <c r="D118" s="185" t="s">
        <v>218</v>
      </c>
      <c r="E118" s="618" t="s">
        <v>222</v>
      </c>
      <c r="F118" s="618"/>
      <c r="G118" s="618" t="s">
        <v>282</v>
      </c>
      <c r="H118" s="618"/>
      <c r="I118" s="618" t="s">
        <v>541</v>
      </c>
      <c r="J118" s="426" t="s">
        <v>1171</v>
      </c>
      <c r="K118" s="618" t="s">
        <v>126</v>
      </c>
      <c r="L118" s="618"/>
      <c r="M118" s="616" t="s">
        <v>224</v>
      </c>
      <c r="N118" s="616"/>
      <c r="P118" s="179"/>
    </row>
    <row r="119" spans="1:16" s="181" customFormat="1" ht="24" customHeight="1">
      <c r="A119" s="185" t="s">
        <v>283</v>
      </c>
      <c r="B119" s="185"/>
      <c r="C119" s="185" t="s">
        <v>284</v>
      </c>
      <c r="D119" s="185" t="s">
        <v>219</v>
      </c>
      <c r="E119" s="187"/>
      <c r="F119" s="187"/>
      <c r="G119" s="187"/>
      <c r="H119" s="187"/>
      <c r="I119" s="187"/>
      <c r="J119" s="187" t="s">
        <v>1172</v>
      </c>
      <c r="K119" s="187"/>
      <c r="L119" s="187"/>
      <c r="M119" s="185"/>
      <c r="N119" s="185"/>
      <c r="P119" s="179"/>
    </row>
    <row r="120" spans="1:16" s="181" customFormat="1" ht="24" customHeight="1">
      <c r="A120" s="185"/>
      <c r="B120" s="185"/>
      <c r="C120" s="185"/>
      <c r="D120" s="185"/>
      <c r="E120" s="186"/>
      <c r="F120" s="186"/>
      <c r="G120" s="186"/>
      <c r="H120" s="186"/>
      <c r="I120" s="186"/>
      <c r="J120" s="186" t="s">
        <v>1173</v>
      </c>
      <c r="K120" s="186"/>
      <c r="L120" s="186"/>
      <c r="M120" s="185"/>
      <c r="N120" s="185"/>
      <c r="P120" s="179"/>
    </row>
    <row r="121" spans="1:16" s="181" customFormat="1" ht="24" customHeight="1">
      <c r="A121" s="185"/>
      <c r="C121" s="185"/>
      <c r="D121" s="185"/>
      <c r="E121" s="620" t="s">
        <v>225</v>
      </c>
      <c r="F121" s="620"/>
      <c r="G121" s="620" t="s">
        <v>285</v>
      </c>
      <c r="H121" s="620"/>
      <c r="I121" s="620" t="s">
        <v>226</v>
      </c>
      <c r="J121" s="620"/>
      <c r="K121" s="620" t="s">
        <v>226</v>
      </c>
      <c r="L121" s="620"/>
      <c r="M121" s="621" t="s">
        <v>226</v>
      </c>
      <c r="N121" s="621"/>
      <c r="P121" s="179"/>
    </row>
    <row r="122" spans="1:14" ht="24" customHeight="1">
      <c r="A122" s="182"/>
      <c r="B122" s="182"/>
      <c r="C122" s="186"/>
      <c r="D122" s="186"/>
      <c r="E122" s="188" t="s">
        <v>898</v>
      </c>
      <c r="F122" s="188" t="s">
        <v>747</v>
      </c>
      <c r="G122" s="188" t="s">
        <v>898</v>
      </c>
      <c r="H122" s="188" t="s">
        <v>747</v>
      </c>
      <c r="I122" s="188" t="s">
        <v>898</v>
      </c>
      <c r="J122" s="188" t="s">
        <v>747</v>
      </c>
      <c r="K122" s="188" t="s">
        <v>898</v>
      </c>
      <c r="L122" s="188" t="s">
        <v>747</v>
      </c>
      <c r="M122" s="188" t="s">
        <v>898</v>
      </c>
      <c r="N122" s="188" t="s">
        <v>747</v>
      </c>
    </row>
    <row r="123" spans="1:16" s="200" customFormat="1" ht="23.25" customHeight="1">
      <c r="A123" s="189">
        <v>60</v>
      </c>
      <c r="B123" s="218" t="s">
        <v>382</v>
      </c>
      <c r="C123" s="219"/>
      <c r="D123" s="199"/>
      <c r="E123" s="194"/>
      <c r="F123" s="194"/>
      <c r="G123" s="643"/>
      <c r="H123" s="643"/>
      <c r="I123" s="643"/>
      <c r="J123" s="643"/>
      <c r="K123" s="643"/>
      <c r="L123" s="643"/>
      <c r="M123" s="653"/>
      <c r="N123" s="653"/>
      <c r="P123" s="179"/>
    </row>
    <row r="124" spans="1:16" s="200" customFormat="1" ht="23.25" customHeight="1">
      <c r="A124" s="189"/>
      <c r="B124" s="218" t="s">
        <v>1308</v>
      </c>
      <c r="C124" s="219" t="s">
        <v>84</v>
      </c>
      <c r="D124" s="191" t="s">
        <v>230</v>
      </c>
      <c r="E124" s="1127" t="s">
        <v>1730</v>
      </c>
      <c r="F124" s="1127" t="s">
        <v>1730</v>
      </c>
      <c r="G124" s="643">
        <v>3.75</v>
      </c>
      <c r="H124" s="643">
        <v>3.75</v>
      </c>
      <c r="I124" s="643">
        <v>9420105.03</v>
      </c>
      <c r="J124" s="643">
        <v>9420105.03</v>
      </c>
      <c r="K124" s="643">
        <v>9420105.03</v>
      </c>
      <c r="L124" s="643">
        <v>9420105.03</v>
      </c>
      <c r="M124" s="653">
        <v>0</v>
      </c>
      <c r="N124" s="653">
        <v>0</v>
      </c>
      <c r="P124" s="179"/>
    </row>
    <row r="125" spans="1:14" ht="23.25" customHeight="1">
      <c r="A125" s="189">
        <v>61</v>
      </c>
      <c r="B125" s="218" t="s">
        <v>555</v>
      </c>
      <c r="C125" s="219" t="s">
        <v>165</v>
      </c>
      <c r="D125" s="191" t="s">
        <v>180</v>
      </c>
      <c r="E125" s="643">
        <v>0</v>
      </c>
      <c r="F125" s="225">
        <v>120000</v>
      </c>
      <c r="G125" s="643">
        <v>0</v>
      </c>
      <c r="H125" s="643">
        <v>4</v>
      </c>
      <c r="I125" s="653">
        <v>0</v>
      </c>
      <c r="J125" s="653">
        <v>9200000</v>
      </c>
      <c r="K125" s="653">
        <v>0</v>
      </c>
      <c r="L125" s="653">
        <v>9200000</v>
      </c>
      <c r="M125" s="653">
        <v>0</v>
      </c>
      <c r="N125" s="653">
        <v>0</v>
      </c>
    </row>
    <row r="126" spans="1:14" ht="23.25" customHeight="1">
      <c r="A126" s="189">
        <v>62</v>
      </c>
      <c r="B126" s="222" t="s">
        <v>865</v>
      </c>
      <c r="C126" s="221" t="s">
        <v>633</v>
      </c>
      <c r="D126" s="191" t="s">
        <v>230</v>
      </c>
      <c r="E126" s="194">
        <v>100000</v>
      </c>
      <c r="F126" s="194">
        <v>100000</v>
      </c>
      <c r="G126" s="643">
        <v>9</v>
      </c>
      <c r="H126" s="643">
        <v>9</v>
      </c>
      <c r="I126" s="643">
        <v>9000000</v>
      </c>
      <c r="J126" s="643">
        <v>9000000</v>
      </c>
      <c r="K126" s="643">
        <v>9000000</v>
      </c>
      <c r="L126" s="643">
        <v>9000000</v>
      </c>
      <c r="M126" s="653">
        <v>0</v>
      </c>
      <c r="N126" s="653">
        <v>0</v>
      </c>
    </row>
    <row r="127" spans="1:14" ht="23.25" customHeight="1">
      <c r="A127" s="189">
        <v>63</v>
      </c>
      <c r="B127" s="190" t="s">
        <v>1309</v>
      </c>
      <c r="C127" s="191" t="s">
        <v>1244</v>
      </c>
      <c r="D127" s="193" t="s">
        <v>178</v>
      </c>
      <c r="E127" s="652">
        <v>50000</v>
      </c>
      <c r="F127" s="313">
        <v>0</v>
      </c>
      <c r="G127" s="643">
        <v>6</v>
      </c>
      <c r="H127" s="313">
        <v>0</v>
      </c>
      <c r="I127" s="643">
        <f>8959674+1539357.59</f>
        <v>10499031.59</v>
      </c>
      <c r="J127" s="313">
        <v>0</v>
      </c>
      <c r="K127" s="643">
        <v>8959674</v>
      </c>
      <c r="L127" s="313">
        <v>0</v>
      </c>
      <c r="M127" s="653">
        <v>0</v>
      </c>
      <c r="N127" s="365">
        <v>0</v>
      </c>
    </row>
    <row r="128" spans="1:14" ht="23.25" customHeight="1">
      <c r="A128" s="189">
        <v>64</v>
      </c>
      <c r="B128" s="218" t="s">
        <v>866</v>
      </c>
      <c r="C128" s="219" t="s">
        <v>144</v>
      </c>
      <c r="D128" s="191"/>
      <c r="E128" s="194"/>
      <c r="F128" s="194"/>
      <c r="G128" s="643"/>
      <c r="H128" s="643"/>
      <c r="I128" s="643"/>
      <c r="J128" s="643"/>
      <c r="K128" s="643"/>
      <c r="L128" s="643"/>
      <c r="M128" s="655"/>
      <c r="N128" s="655"/>
    </row>
    <row r="129" spans="1:14" ht="23.25" customHeight="1">
      <c r="A129" s="189"/>
      <c r="B129" s="198" t="s">
        <v>867</v>
      </c>
      <c r="C129" s="219" t="s">
        <v>186</v>
      </c>
      <c r="D129" s="191" t="s">
        <v>233</v>
      </c>
      <c r="E129" s="194">
        <v>20000</v>
      </c>
      <c r="F129" s="194">
        <v>20000</v>
      </c>
      <c r="G129" s="643">
        <v>19</v>
      </c>
      <c r="H129" s="643">
        <v>15</v>
      </c>
      <c r="I129" s="643">
        <f>8427000+4119200</f>
        <v>12546200</v>
      </c>
      <c r="J129" s="643">
        <v>8427000</v>
      </c>
      <c r="K129" s="643">
        <f>8427000+4119200</f>
        <v>12546200</v>
      </c>
      <c r="L129" s="643">
        <v>8427000</v>
      </c>
      <c r="M129" s="653">
        <v>1500000</v>
      </c>
      <c r="N129" s="653">
        <v>2250000</v>
      </c>
    </row>
    <row r="130" spans="1:14" ht="23.25" customHeight="1">
      <c r="A130" s="189">
        <v>65</v>
      </c>
      <c r="B130" s="218" t="s">
        <v>1245</v>
      </c>
      <c r="C130" s="219" t="s">
        <v>167</v>
      </c>
      <c r="G130" s="645"/>
      <c r="H130" s="645"/>
      <c r="I130" s="645"/>
      <c r="J130" s="645"/>
      <c r="K130" s="645"/>
      <c r="L130" s="645"/>
      <c r="M130" s="645"/>
      <c r="N130" s="645"/>
    </row>
    <row r="131" spans="1:14" ht="23.25" customHeight="1">
      <c r="A131" s="189"/>
      <c r="B131" s="198" t="s">
        <v>1246</v>
      </c>
      <c r="C131" s="219" t="s">
        <v>552</v>
      </c>
      <c r="D131" s="191" t="s">
        <v>553</v>
      </c>
      <c r="E131" s="648" t="s">
        <v>554</v>
      </c>
      <c r="F131" s="648" t="s">
        <v>554</v>
      </c>
      <c r="G131" s="643">
        <v>5</v>
      </c>
      <c r="H131" s="643">
        <v>5</v>
      </c>
      <c r="I131" s="643">
        <v>8151350</v>
      </c>
      <c r="J131" s="643">
        <v>8151350</v>
      </c>
      <c r="K131" s="643">
        <v>8151350</v>
      </c>
      <c r="L131" s="643">
        <v>8151350</v>
      </c>
      <c r="M131" s="653">
        <v>0</v>
      </c>
      <c r="N131" s="653">
        <v>0</v>
      </c>
    </row>
    <row r="132" spans="1:14" ht="23.25" customHeight="1">
      <c r="A132" s="189">
        <v>66</v>
      </c>
      <c r="B132" s="218" t="s">
        <v>482</v>
      </c>
      <c r="C132" s="219" t="s">
        <v>483</v>
      </c>
      <c r="D132" s="191" t="s">
        <v>280</v>
      </c>
      <c r="E132" s="194">
        <v>36000</v>
      </c>
      <c r="F132" s="194">
        <v>36000</v>
      </c>
      <c r="G132" s="643">
        <v>18</v>
      </c>
      <c r="H132" s="643">
        <v>18</v>
      </c>
      <c r="I132" s="643">
        <f>7747488-4212000</f>
        <v>3535488</v>
      </c>
      <c r="J132" s="643">
        <v>7747488</v>
      </c>
      <c r="K132" s="643">
        <f>7747488-4212000</f>
        <v>3535488</v>
      </c>
      <c r="L132" s="643">
        <v>7747488</v>
      </c>
      <c r="M132" s="653">
        <v>0</v>
      </c>
      <c r="N132" s="653">
        <v>0</v>
      </c>
    </row>
    <row r="133" spans="1:14" ht="23.25" customHeight="1">
      <c r="A133" s="189">
        <v>67</v>
      </c>
      <c r="B133" s="218" t="s">
        <v>868</v>
      </c>
      <c r="C133" s="219" t="s">
        <v>167</v>
      </c>
      <c r="D133" s="191"/>
      <c r="E133" s="192"/>
      <c r="F133" s="192"/>
      <c r="G133" s="645"/>
      <c r="H133" s="645"/>
      <c r="I133" s="645"/>
      <c r="J133" s="645"/>
      <c r="K133" s="645"/>
      <c r="L133" s="645"/>
      <c r="M133" s="653"/>
      <c r="N133" s="653"/>
    </row>
    <row r="134" spans="1:14" ht="23.25" customHeight="1">
      <c r="A134" s="189"/>
      <c r="B134" s="218" t="s">
        <v>765</v>
      </c>
      <c r="C134" s="219" t="s">
        <v>640</v>
      </c>
      <c r="D134" s="191" t="s">
        <v>178</v>
      </c>
      <c r="E134" s="192">
        <v>40000</v>
      </c>
      <c r="F134" s="192">
        <v>40000</v>
      </c>
      <c r="G134" s="645">
        <v>19</v>
      </c>
      <c r="H134" s="645">
        <v>19</v>
      </c>
      <c r="I134" s="645">
        <v>7600000</v>
      </c>
      <c r="J134" s="645">
        <v>7600000</v>
      </c>
      <c r="K134" s="645">
        <v>7600000</v>
      </c>
      <c r="L134" s="645">
        <v>7600000</v>
      </c>
      <c r="M134" s="653">
        <v>0</v>
      </c>
      <c r="N134" s="653">
        <v>380000</v>
      </c>
    </row>
    <row r="135" spans="1:14" ht="23.25" customHeight="1">
      <c r="A135" s="189">
        <v>68</v>
      </c>
      <c r="B135" s="218" t="s">
        <v>869</v>
      </c>
      <c r="C135" s="219" t="s">
        <v>167</v>
      </c>
      <c r="D135" s="191"/>
      <c r="E135" s="192"/>
      <c r="F135" s="192"/>
      <c r="G135" s="314"/>
      <c r="H135" s="314"/>
      <c r="I135" s="314"/>
      <c r="J135" s="314"/>
      <c r="K135" s="314"/>
      <c r="L135" s="314"/>
      <c r="M135" s="365"/>
      <c r="N135" s="365"/>
    </row>
    <row r="136" spans="1:14" ht="23.25" customHeight="1">
      <c r="A136" s="189"/>
      <c r="B136" s="218"/>
      <c r="C136" s="219" t="s">
        <v>766</v>
      </c>
      <c r="D136" s="191" t="s">
        <v>180</v>
      </c>
      <c r="E136" s="192">
        <v>50000</v>
      </c>
      <c r="F136" s="192">
        <v>50000</v>
      </c>
      <c r="G136" s="314">
        <v>15</v>
      </c>
      <c r="H136" s="314">
        <v>15</v>
      </c>
      <c r="I136" s="314">
        <v>7500000</v>
      </c>
      <c r="J136" s="314">
        <v>7500000</v>
      </c>
      <c r="K136" s="314">
        <v>7500000</v>
      </c>
      <c r="L136" s="314">
        <v>7500000</v>
      </c>
      <c r="M136" s="653">
        <v>0</v>
      </c>
      <c r="N136" s="365">
        <v>0</v>
      </c>
    </row>
    <row r="137" spans="1:2" ht="23.25" customHeight="1">
      <c r="A137" s="189">
        <v>69</v>
      </c>
      <c r="B137" s="218" t="s">
        <v>1247</v>
      </c>
    </row>
    <row r="138" spans="1:14" ht="23.25" customHeight="1">
      <c r="A138" s="189"/>
      <c r="B138" s="218" t="s">
        <v>1248</v>
      </c>
      <c r="C138" s="219" t="s">
        <v>152</v>
      </c>
      <c r="D138" s="191" t="s">
        <v>178</v>
      </c>
      <c r="E138" s="192">
        <v>50000</v>
      </c>
      <c r="F138" s="192">
        <v>50000</v>
      </c>
      <c r="G138" s="645">
        <v>14</v>
      </c>
      <c r="H138" s="645">
        <v>14</v>
      </c>
      <c r="I138" s="645">
        <v>7000000</v>
      </c>
      <c r="J138" s="645">
        <v>7000000</v>
      </c>
      <c r="K138" s="645">
        <v>7000000</v>
      </c>
      <c r="L138" s="645">
        <v>7000000</v>
      </c>
      <c r="M138" s="653">
        <v>700000</v>
      </c>
      <c r="N138" s="653">
        <v>700000</v>
      </c>
    </row>
    <row r="139" spans="1:14" ht="23.25" customHeight="1">
      <c r="A139" s="189">
        <v>70</v>
      </c>
      <c r="B139" s="218" t="s">
        <v>870</v>
      </c>
      <c r="C139" s="199"/>
      <c r="D139" s="191"/>
      <c r="E139" s="192"/>
      <c r="F139" s="192"/>
      <c r="G139" s="643"/>
      <c r="H139" s="643"/>
      <c r="I139" s="643"/>
      <c r="J139" s="643"/>
      <c r="K139" s="643"/>
      <c r="L139" s="643"/>
      <c r="M139" s="655"/>
      <c r="N139" s="655"/>
    </row>
    <row r="140" spans="1:14" ht="23.25" customHeight="1">
      <c r="A140" s="189"/>
      <c r="B140" s="198" t="s">
        <v>767</v>
      </c>
      <c r="C140" s="199" t="s">
        <v>468</v>
      </c>
      <c r="D140" s="191" t="s">
        <v>280</v>
      </c>
      <c r="E140" s="192">
        <v>350000</v>
      </c>
      <c r="F140" s="192">
        <v>350000</v>
      </c>
      <c r="G140" s="643">
        <v>2</v>
      </c>
      <c r="H140" s="643">
        <v>2</v>
      </c>
      <c r="I140" s="643">
        <v>7000000</v>
      </c>
      <c r="J140" s="643">
        <v>7000000</v>
      </c>
      <c r="K140" s="643">
        <v>7000000</v>
      </c>
      <c r="L140" s="643">
        <v>7000000</v>
      </c>
      <c r="M140" s="653">
        <v>0</v>
      </c>
      <c r="N140" s="653">
        <v>0</v>
      </c>
    </row>
    <row r="141" spans="1:14" ht="23.25" customHeight="1">
      <c r="A141" s="189">
        <v>71</v>
      </c>
      <c r="B141" s="217" t="s">
        <v>453</v>
      </c>
      <c r="C141" s="199" t="s">
        <v>768</v>
      </c>
      <c r="D141" s="191" t="s">
        <v>230</v>
      </c>
      <c r="E141" s="192">
        <v>7813</v>
      </c>
      <c r="F141" s="192">
        <v>7813</v>
      </c>
      <c r="G141" s="645">
        <v>19.5</v>
      </c>
      <c r="H141" s="645">
        <v>19.5</v>
      </c>
      <c r="I141" s="645">
        <v>6998437.5</v>
      </c>
      <c r="J141" s="645">
        <v>6998437.5</v>
      </c>
      <c r="K141" s="645">
        <v>6998437.5</v>
      </c>
      <c r="L141" s="645">
        <v>6998437.5</v>
      </c>
      <c r="M141" s="653">
        <v>0</v>
      </c>
      <c r="N141" s="653">
        <v>0</v>
      </c>
    </row>
    <row r="142" spans="1:14" ht="23.25" customHeight="1">
      <c r="A142" s="189">
        <v>72</v>
      </c>
      <c r="B142" s="218" t="s">
        <v>1249</v>
      </c>
      <c r="C142" s="199" t="s">
        <v>227</v>
      </c>
      <c r="D142" s="191" t="s">
        <v>178</v>
      </c>
      <c r="E142" s="192">
        <v>40000</v>
      </c>
      <c r="F142" s="645">
        <v>0</v>
      </c>
      <c r="G142" s="645">
        <v>17</v>
      </c>
      <c r="H142" s="645">
        <v>0</v>
      </c>
      <c r="I142" s="645">
        <v>6800000</v>
      </c>
      <c r="J142" s="645">
        <v>0</v>
      </c>
      <c r="K142" s="645">
        <v>6800000</v>
      </c>
      <c r="L142" s="645">
        <v>0</v>
      </c>
      <c r="M142" s="653">
        <v>0</v>
      </c>
      <c r="N142" s="653">
        <v>0</v>
      </c>
    </row>
    <row r="143" spans="1:2" ht="23.25" customHeight="1">
      <c r="A143" s="189">
        <v>73</v>
      </c>
      <c r="B143" s="218" t="s">
        <v>1250</v>
      </c>
    </row>
    <row r="144" spans="1:14" ht="23.25" customHeight="1">
      <c r="A144" s="189"/>
      <c r="B144" s="198" t="s">
        <v>1251</v>
      </c>
      <c r="C144" s="219" t="s">
        <v>383</v>
      </c>
      <c r="D144" s="191" t="s">
        <v>1731</v>
      </c>
      <c r="E144" s="225">
        <v>70000</v>
      </c>
      <c r="F144" s="225">
        <v>70000</v>
      </c>
      <c r="G144" s="643">
        <v>9</v>
      </c>
      <c r="H144" s="643">
        <v>9</v>
      </c>
      <c r="I144" s="653">
        <v>6300000</v>
      </c>
      <c r="J144" s="653">
        <v>6300000</v>
      </c>
      <c r="K144" s="653">
        <v>6300000</v>
      </c>
      <c r="L144" s="653">
        <v>6300000</v>
      </c>
      <c r="M144" s="653">
        <v>0</v>
      </c>
      <c r="N144" s="653">
        <v>0</v>
      </c>
    </row>
    <row r="145" spans="1:14" ht="23.25" customHeight="1">
      <c r="A145" s="189">
        <v>74</v>
      </c>
      <c r="B145" s="190" t="s">
        <v>871</v>
      </c>
      <c r="C145" s="191" t="s">
        <v>300</v>
      </c>
      <c r="D145" s="193" t="s">
        <v>179</v>
      </c>
      <c r="E145" s="204">
        <v>20000</v>
      </c>
      <c r="F145" s="204">
        <v>20000</v>
      </c>
      <c r="G145" s="643">
        <v>19.5</v>
      </c>
      <c r="H145" s="643">
        <v>19.5</v>
      </c>
      <c r="I145" s="643">
        <v>6246583.44</v>
      </c>
      <c r="J145" s="643">
        <v>6246583.44</v>
      </c>
      <c r="K145" s="643">
        <v>6246583.44</v>
      </c>
      <c r="L145" s="643">
        <v>6246583.44</v>
      </c>
      <c r="M145" s="653">
        <v>155992</v>
      </c>
      <c r="N145" s="643">
        <v>467976</v>
      </c>
    </row>
    <row r="146" spans="1:14" ht="23.25" customHeight="1">
      <c r="A146" s="189">
        <v>75</v>
      </c>
      <c r="B146" s="190" t="s">
        <v>872</v>
      </c>
      <c r="C146" s="191" t="s">
        <v>769</v>
      </c>
      <c r="D146" s="193" t="s">
        <v>233</v>
      </c>
      <c r="E146" s="204">
        <v>60000</v>
      </c>
      <c r="F146" s="204">
        <v>60000</v>
      </c>
      <c r="G146" s="643">
        <v>10</v>
      </c>
      <c r="H146" s="643">
        <v>10</v>
      </c>
      <c r="I146" s="643">
        <v>6000000</v>
      </c>
      <c r="J146" s="643">
        <v>6000000</v>
      </c>
      <c r="K146" s="643">
        <v>6000000</v>
      </c>
      <c r="L146" s="643">
        <v>6000000</v>
      </c>
      <c r="M146" s="653">
        <v>900000</v>
      </c>
      <c r="N146" s="653">
        <v>360000</v>
      </c>
    </row>
    <row r="147" spans="1:14" ht="23.25" customHeight="1">
      <c r="A147" s="189">
        <v>76</v>
      </c>
      <c r="B147" s="190" t="s">
        <v>445</v>
      </c>
      <c r="C147" s="191" t="s">
        <v>227</v>
      </c>
      <c r="D147" s="193" t="s">
        <v>179</v>
      </c>
      <c r="E147" s="204">
        <v>5000</v>
      </c>
      <c r="F147" s="204">
        <v>20000</v>
      </c>
      <c r="G147" s="643">
        <v>19.5</v>
      </c>
      <c r="H147" s="643">
        <v>19.5</v>
      </c>
      <c r="I147" s="643">
        <v>5906141.75</v>
      </c>
      <c r="J147" s="643">
        <v>5906141.75</v>
      </c>
      <c r="K147" s="643">
        <v>5906141.75</v>
      </c>
      <c r="L147" s="643">
        <v>5906141.75</v>
      </c>
      <c r="M147" s="653">
        <v>0</v>
      </c>
      <c r="N147" s="643">
        <v>0</v>
      </c>
    </row>
    <row r="148" spans="1:2" ht="23.25" customHeight="1">
      <c r="A148" s="189">
        <v>77</v>
      </c>
      <c r="B148" s="218" t="s">
        <v>1252</v>
      </c>
    </row>
    <row r="149" spans="1:14" ht="23.25" customHeight="1">
      <c r="A149" s="189"/>
      <c r="B149" s="198" t="s">
        <v>1253</v>
      </c>
      <c r="C149" s="219" t="s">
        <v>547</v>
      </c>
      <c r="D149" s="191" t="s">
        <v>230</v>
      </c>
      <c r="E149" s="648" t="s">
        <v>548</v>
      </c>
      <c r="F149" s="648" t="s">
        <v>548</v>
      </c>
      <c r="G149" s="643">
        <v>15</v>
      </c>
      <c r="H149" s="643">
        <v>15</v>
      </c>
      <c r="I149" s="643">
        <v>5861700</v>
      </c>
      <c r="J149" s="643">
        <v>5861700</v>
      </c>
      <c r="K149" s="643">
        <v>5861700</v>
      </c>
      <c r="L149" s="643">
        <v>5861700</v>
      </c>
      <c r="M149" s="653">
        <v>0</v>
      </c>
      <c r="N149" s="653">
        <v>0</v>
      </c>
    </row>
    <row r="150" spans="1:14" ht="23.25" customHeight="1">
      <c r="A150" s="189">
        <v>78</v>
      </c>
      <c r="B150" s="190" t="s">
        <v>442</v>
      </c>
      <c r="C150" s="191" t="s">
        <v>297</v>
      </c>
      <c r="D150" s="193" t="s">
        <v>178</v>
      </c>
      <c r="E150" s="204">
        <v>10000</v>
      </c>
      <c r="F150" s="204">
        <v>10000</v>
      </c>
      <c r="G150" s="643">
        <v>18</v>
      </c>
      <c r="H150" s="313">
        <v>18</v>
      </c>
      <c r="I150" s="643">
        <f>5315611.5-2797600</f>
        <v>2518011.5</v>
      </c>
      <c r="J150" s="313">
        <v>2952357.5</v>
      </c>
      <c r="K150" s="643">
        <f>5315611.5-2797600</f>
        <v>2518011.5</v>
      </c>
      <c r="L150" s="313">
        <v>2952357.5</v>
      </c>
      <c r="M150" s="653">
        <v>190000</v>
      </c>
      <c r="N150" s="313">
        <v>90000</v>
      </c>
    </row>
    <row r="151" spans="1:14" ht="23.25" customHeight="1">
      <c r="A151" s="189">
        <v>79</v>
      </c>
      <c r="B151" s="218" t="s">
        <v>458</v>
      </c>
      <c r="C151" s="200"/>
      <c r="D151" s="191"/>
      <c r="E151" s="192"/>
      <c r="F151" s="192"/>
      <c r="G151" s="645"/>
      <c r="H151" s="645"/>
      <c r="I151" s="645"/>
      <c r="J151" s="645"/>
      <c r="K151" s="645"/>
      <c r="L151" s="645"/>
      <c r="M151" s="645"/>
      <c r="N151" s="645"/>
    </row>
    <row r="152" spans="1:14" ht="23.25" customHeight="1">
      <c r="A152" s="189"/>
      <c r="B152" s="198" t="s">
        <v>770</v>
      </c>
      <c r="C152" s="219" t="s">
        <v>247</v>
      </c>
      <c r="D152" s="191" t="s">
        <v>178</v>
      </c>
      <c r="E152" s="192">
        <v>50000</v>
      </c>
      <c r="F152" s="192">
        <v>50000</v>
      </c>
      <c r="G152" s="645">
        <v>10</v>
      </c>
      <c r="H152" s="645">
        <v>10</v>
      </c>
      <c r="I152" s="645">
        <v>5150406.14</v>
      </c>
      <c r="J152" s="645">
        <v>5150406.14</v>
      </c>
      <c r="K152" s="645">
        <v>5150406.14</v>
      </c>
      <c r="L152" s="645">
        <v>5150406.14</v>
      </c>
      <c r="M152" s="653">
        <v>500000</v>
      </c>
      <c r="N152" s="643">
        <v>0</v>
      </c>
    </row>
    <row r="153" spans="1:16" s="200" customFormat="1" ht="23.25" customHeight="1">
      <c r="A153" s="189">
        <v>80</v>
      </c>
      <c r="B153" s="218" t="s">
        <v>473</v>
      </c>
      <c r="C153" s="219" t="s">
        <v>642</v>
      </c>
      <c r="D153" s="191"/>
      <c r="E153" s="194"/>
      <c r="F153" s="194"/>
      <c r="G153" s="643"/>
      <c r="H153" s="643"/>
      <c r="I153" s="643"/>
      <c r="J153" s="643"/>
      <c r="K153" s="643"/>
      <c r="L153" s="643"/>
      <c r="M153" s="653"/>
      <c r="N153" s="653"/>
      <c r="P153" s="179"/>
    </row>
    <row r="154" spans="1:16" s="200" customFormat="1" ht="23.25" customHeight="1">
      <c r="A154" s="189"/>
      <c r="B154" s="218"/>
      <c r="C154" s="221" t="s">
        <v>641</v>
      </c>
      <c r="D154" s="191" t="s">
        <v>230</v>
      </c>
      <c r="E154" s="225">
        <v>39900</v>
      </c>
      <c r="F154" s="225">
        <v>39900</v>
      </c>
      <c r="G154" s="643">
        <v>12.53</v>
      </c>
      <c r="H154" s="643">
        <v>12.53</v>
      </c>
      <c r="I154" s="643">
        <v>5000000</v>
      </c>
      <c r="J154" s="643">
        <v>5000000</v>
      </c>
      <c r="K154" s="643">
        <v>5000000</v>
      </c>
      <c r="L154" s="643">
        <v>5000000</v>
      </c>
      <c r="M154" s="653">
        <v>0</v>
      </c>
      <c r="N154" s="653">
        <v>0</v>
      </c>
      <c r="P154" s="179"/>
    </row>
    <row r="155" spans="1:14" ht="23.25" customHeight="1">
      <c r="A155" s="189">
        <v>81</v>
      </c>
      <c r="B155" s="190" t="s">
        <v>446</v>
      </c>
      <c r="C155" s="191" t="s">
        <v>229</v>
      </c>
      <c r="D155" s="193" t="s">
        <v>233</v>
      </c>
      <c r="E155" s="204">
        <v>30000</v>
      </c>
      <c r="F155" s="204">
        <v>30000</v>
      </c>
      <c r="G155" s="643">
        <v>16</v>
      </c>
      <c r="H155" s="643">
        <v>16</v>
      </c>
      <c r="I155" s="643">
        <v>4922582.5</v>
      </c>
      <c r="J155" s="643">
        <v>4922582.5</v>
      </c>
      <c r="K155" s="643">
        <v>4922582.5</v>
      </c>
      <c r="L155" s="643">
        <v>4922582.5</v>
      </c>
      <c r="M155" s="653">
        <v>1440000</v>
      </c>
      <c r="N155" s="653">
        <v>1920000</v>
      </c>
    </row>
    <row r="156" spans="1:14" ht="23.25" customHeight="1">
      <c r="A156" s="189">
        <v>82</v>
      </c>
      <c r="B156" s="190" t="s">
        <v>873</v>
      </c>
      <c r="C156" s="193" t="s">
        <v>197</v>
      </c>
      <c r="E156" s="192"/>
      <c r="F156" s="192"/>
      <c r="G156" s="645"/>
      <c r="H156" s="645"/>
      <c r="I156" s="645"/>
      <c r="J156" s="645"/>
      <c r="K156" s="645"/>
      <c r="L156" s="645"/>
      <c r="M156" s="645"/>
      <c r="N156" s="645"/>
    </row>
    <row r="157" spans="1:14" ht="23.25" customHeight="1">
      <c r="A157" s="189"/>
      <c r="B157" s="190" t="s">
        <v>771</v>
      </c>
      <c r="C157" s="193" t="s">
        <v>310</v>
      </c>
      <c r="D157" s="193" t="s">
        <v>179</v>
      </c>
      <c r="E157" s="192">
        <v>40000</v>
      </c>
      <c r="F157" s="192">
        <v>40000</v>
      </c>
      <c r="G157" s="645">
        <v>12</v>
      </c>
      <c r="H157" s="645">
        <v>12</v>
      </c>
      <c r="I157" s="645">
        <v>4800000</v>
      </c>
      <c r="J157" s="645">
        <v>4800000</v>
      </c>
      <c r="K157" s="645">
        <v>4800000</v>
      </c>
      <c r="L157" s="645">
        <v>4800000</v>
      </c>
      <c r="M157" s="653">
        <v>0</v>
      </c>
      <c r="N157" s="653">
        <v>0</v>
      </c>
    </row>
    <row r="158" spans="1:14" ht="23.25" customHeight="1">
      <c r="A158" s="189">
        <v>83</v>
      </c>
      <c r="B158" s="218" t="s">
        <v>549</v>
      </c>
      <c r="C158" s="219" t="s">
        <v>196</v>
      </c>
      <c r="D158" s="191"/>
      <c r="E158" s="194"/>
      <c r="F158" s="194"/>
      <c r="G158" s="643"/>
      <c r="H158" s="643"/>
      <c r="I158" s="643"/>
      <c r="J158" s="643"/>
      <c r="K158" s="643"/>
      <c r="L158" s="643"/>
      <c r="M158" s="653"/>
      <c r="N158" s="653"/>
    </row>
    <row r="159" spans="1:14" ht="23.25" customHeight="1">
      <c r="A159" s="223"/>
      <c r="B159" s="218"/>
      <c r="C159" s="219" t="s">
        <v>550</v>
      </c>
      <c r="D159" s="191" t="s">
        <v>230</v>
      </c>
      <c r="E159" s="648" t="s">
        <v>551</v>
      </c>
      <c r="F159" s="648" t="s">
        <v>551</v>
      </c>
      <c r="G159" s="643">
        <v>9</v>
      </c>
      <c r="H159" s="643">
        <v>9</v>
      </c>
      <c r="I159" s="643">
        <v>4658140</v>
      </c>
      <c r="J159" s="643">
        <v>4658140</v>
      </c>
      <c r="K159" s="643">
        <v>4658140</v>
      </c>
      <c r="L159" s="643">
        <v>4658140</v>
      </c>
      <c r="M159" s="653">
        <v>0</v>
      </c>
      <c r="N159" s="653">
        <v>0</v>
      </c>
    </row>
    <row r="160" spans="1:14" ht="23.25" customHeight="1">
      <c r="A160" s="189">
        <v>84</v>
      </c>
      <c r="B160" s="217" t="s">
        <v>874</v>
      </c>
      <c r="C160" s="199" t="s">
        <v>289</v>
      </c>
      <c r="D160" s="191" t="s">
        <v>233</v>
      </c>
      <c r="E160" s="192">
        <v>30000</v>
      </c>
      <c r="F160" s="192">
        <v>30000</v>
      </c>
      <c r="G160" s="645">
        <v>15</v>
      </c>
      <c r="H160" s="645">
        <v>15</v>
      </c>
      <c r="I160" s="645">
        <v>4500000</v>
      </c>
      <c r="J160" s="645">
        <v>4500000</v>
      </c>
      <c r="K160" s="645">
        <v>4500000</v>
      </c>
      <c r="L160" s="645">
        <v>4500000</v>
      </c>
      <c r="M160" s="653">
        <v>0</v>
      </c>
      <c r="N160" s="653">
        <v>0</v>
      </c>
    </row>
    <row r="161" spans="1:14" ht="23.25" customHeight="1">
      <c r="A161" s="189">
        <v>85</v>
      </c>
      <c r="B161" s="218" t="s">
        <v>875</v>
      </c>
      <c r="C161" s="219" t="s">
        <v>348</v>
      </c>
      <c r="D161" s="191" t="s">
        <v>181</v>
      </c>
      <c r="E161" s="192">
        <v>30000</v>
      </c>
      <c r="F161" s="192">
        <v>30000</v>
      </c>
      <c r="G161" s="645">
        <v>15</v>
      </c>
      <c r="H161" s="314">
        <v>15</v>
      </c>
      <c r="I161" s="645">
        <v>4500000</v>
      </c>
      <c r="J161" s="314">
        <v>4500000</v>
      </c>
      <c r="K161" s="645">
        <v>4500000</v>
      </c>
      <c r="L161" s="314">
        <v>4500000</v>
      </c>
      <c r="M161" s="653">
        <v>0</v>
      </c>
      <c r="N161" s="365">
        <v>0</v>
      </c>
    </row>
    <row r="162" spans="1:14" ht="23.25" customHeight="1">
      <c r="A162" s="189">
        <v>86</v>
      </c>
      <c r="B162" s="218" t="s">
        <v>480</v>
      </c>
      <c r="C162" s="219" t="s">
        <v>481</v>
      </c>
      <c r="D162" s="191" t="s">
        <v>233</v>
      </c>
      <c r="E162" s="194">
        <v>60000</v>
      </c>
      <c r="F162" s="194">
        <v>60000</v>
      </c>
      <c r="G162" s="643">
        <v>7.5</v>
      </c>
      <c r="H162" s="313">
        <v>7.5</v>
      </c>
      <c r="I162" s="643">
        <v>4500000</v>
      </c>
      <c r="J162" s="313">
        <v>4500000</v>
      </c>
      <c r="K162" s="643">
        <v>4500000</v>
      </c>
      <c r="L162" s="313">
        <v>4500000</v>
      </c>
      <c r="M162" s="653">
        <v>0</v>
      </c>
      <c r="N162" s="365">
        <v>0</v>
      </c>
    </row>
    <row r="163" spans="1:14" ht="23.25" customHeight="1">
      <c r="A163" s="189">
        <v>87</v>
      </c>
      <c r="B163" s="190" t="s">
        <v>876</v>
      </c>
      <c r="C163" s="191" t="s">
        <v>317</v>
      </c>
      <c r="D163" s="193"/>
      <c r="E163" s="204"/>
      <c r="F163" s="204"/>
      <c r="G163" s="643"/>
      <c r="H163" s="313"/>
      <c r="I163" s="643"/>
      <c r="J163" s="313"/>
      <c r="K163" s="643"/>
      <c r="L163" s="313"/>
      <c r="M163" s="643"/>
      <c r="N163" s="313"/>
    </row>
    <row r="164" spans="1:14" ht="23.25" customHeight="1">
      <c r="A164" s="189"/>
      <c r="C164" s="191" t="s">
        <v>318</v>
      </c>
      <c r="D164" s="193" t="s">
        <v>178</v>
      </c>
      <c r="E164" s="204">
        <v>40000</v>
      </c>
      <c r="F164" s="204">
        <v>40000</v>
      </c>
      <c r="G164" s="643">
        <v>10</v>
      </c>
      <c r="H164" s="313">
        <v>10</v>
      </c>
      <c r="I164" s="643">
        <v>4000000</v>
      </c>
      <c r="J164" s="313">
        <v>4000000</v>
      </c>
      <c r="K164" s="643">
        <v>4000000</v>
      </c>
      <c r="L164" s="313">
        <v>4000000</v>
      </c>
      <c r="M164" s="653">
        <v>400000</v>
      </c>
      <c r="N164" s="365">
        <v>400000</v>
      </c>
    </row>
    <row r="165" spans="1:14" ht="23.25" customHeight="1">
      <c r="A165" s="189">
        <v>88</v>
      </c>
      <c r="B165" s="190" t="s">
        <v>772</v>
      </c>
      <c r="C165" s="191" t="s">
        <v>773</v>
      </c>
      <c r="D165" s="193" t="s">
        <v>233</v>
      </c>
      <c r="E165" s="204">
        <v>50000</v>
      </c>
      <c r="F165" s="652">
        <v>50000</v>
      </c>
      <c r="G165" s="643">
        <v>8</v>
      </c>
      <c r="H165" s="313">
        <v>8</v>
      </c>
      <c r="I165" s="643">
        <v>3999900</v>
      </c>
      <c r="J165" s="313">
        <v>3999900</v>
      </c>
      <c r="K165" s="643">
        <v>3999900</v>
      </c>
      <c r="L165" s="313">
        <v>3999900</v>
      </c>
      <c r="M165" s="653">
        <v>0</v>
      </c>
      <c r="N165" s="365">
        <v>0</v>
      </c>
    </row>
    <row r="166" spans="1:14" ht="23.25" customHeight="1">
      <c r="A166" s="189">
        <v>89</v>
      </c>
      <c r="B166" s="218" t="s">
        <v>466</v>
      </c>
      <c r="C166" s="219" t="s">
        <v>302</v>
      </c>
      <c r="D166" s="191" t="s">
        <v>233</v>
      </c>
      <c r="E166" s="192">
        <v>30000</v>
      </c>
      <c r="F166" s="192">
        <v>30000</v>
      </c>
      <c r="G166" s="645">
        <v>12</v>
      </c>
      <c r="H166" s="314">
        <v>12</v>
      </c>
      <c r="I166" s="645">
        <v>3600000</v>
      </c>
      <c r="J166" s="314">
        <v>3600000</v>
      </c>
      <c r="K166" s="645">
        <v>3600000</v>
      </c>
      <c r="L166" s="314">
        <v>3600000</v>
      </c>
      <c r="M166" s="653">
        <v>0</v>
      </c>
      <c r="N166" s="314">
        <v>0</v>
      </c>
    </row>
    <row r="167" spans="1:14" ht="23.25" customHeight="1">
      <c r="A167" s="189">
        <v>90</v>
      </c>
      <c r="B167" s="218" t="s">
        <v>556</v>
      </c>
      <c r="C167" s="219" t="s">
        <v>557</v>
      </c>
      <c r="D167" s="191" t="s">
        <v>233</v>
      </c>
      <c r="E167" s="225">
        <v>60000</v>
      </c>
      <c r="F167" s="225">
        <v>60000</v>
      </c>
      <c r="G167" s="643">
        <v>6</v>
      </c>
      <c r="H167" s="313">
        <v>6</v>
      </c>
      <c r="I167" s="653">
        <v>3600000</v>
      </c>
      <c r="J167" s="365">
        <v>3600000</v>
      </c>
      <c r="K167" s="653">
        <v>3600000</v>
      </c>
      <c r="L167" s="365">
        <v>3600000</v>
      </c>
      <c r="M167" s="653">
        <v>0</v>
      </c>
      <c r="N167" s="365">
        <v>0</v>
      </c>
    </row>
    <row r="168" spans="1:14" ht="23.25" customHeight="1">
      <c r="A168" s="189">
        <v>91</v>
      </c>
      <c r="B168" s="198" t="s">
        <v>470</v>
      </c>
      <c r="C168" s="221" t="s">
        <v>196</v>
      </c>
      <c r="D168" s="191"/>
      <c r="E168" s="194"/>
      <c r="F168" s="194"/>
      <c r="G168" s="643"/>
      <c r="H168" s="313"/>
      <c r="I168" s="643"/>
      <c r="J168" s="313"/>
      <c r="K168" s="643"/>
      <c r="L168" s="313"/>
      <c r="M168" s="653"/>
      <c r="N168" s="365"/>
    </row>
    <row r="169" spans="1:14" ht="23.25" customHeight="1">
      <c r="A169" s="189"/>
      <c r="B169" s="222" t="s">
        <v>774</v>
      </c>
      <c r="C169" s="221" t="s">
        <v>581</v>
      </c>
      <c r="D169" s="191" t="s">
        <v>179</v>
      </c>
      <c r="E169" s="194">
        <v>100000</v>
      </c>
      <c r="F169" s="194">
        <v>100000</v>
      </c>
      <c r="G169" s="643">
        <v>3.5</v>
      </c>
      <c r="H169" s="313">
        <v>3.5</v>
      </c>
      <c r="I169" s="643">
        <v>3500000</v>
      </c>
      <c r="J169" s="313">
        <v>3500000</v>
      </c>
      <c r="K169" s="643">
        <v>3500000</v>
      </c>
      <c r="L169" s="313">
        <v>3500000</v>
      </c>
      <c r="M169" s="653">
        <v>0</v>
      </c>
      <c r="N169" s="365">
        <v>0</v>
      </c>
    </row>
    <row r="170" spans="1:14" ht="23.25" customHeight="1">
      <c r="A170" s="189"/>
      <c r="B170" s="222"/>
      <c r="C170" s="221"/>
      <c r="D170" s="191"/>
      <c r="E170" s="194"/>
      <c r="F170" s="194"/>
      <c r="G170" s="643"/>
      <c r="H170" s="313"/>
      <c r="I170" s="643"/>
      <c r="J170" s="313"/>
      <c r="K170" s="643"/>
      <c r="L170" s="313"/>
      <c r="M170" s="653"/>
      <c r="N170" s="365"/>
    </row>
    <row r="171" spans="1:16" s="208" customFormat="1" ht="24.75" customHeight="1">
      <c r="A171" s="206" t="s">
        <v>1236</v>
      </c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P171" s="179"/>
    </row>
    <row r="172" spans="1:14" ht="24.75" customHeight="1">
      <c r="A172" s="178" t="s">
        <v>1629</v>
      </c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</row>
    <row r="173" spans="1:14" ht="24.75" customHeight="1">
      <c r="A173" s="180"/>
      <c r="B173" s="180"/>
      <c r="C173" s="180"/>
      <c r="D173" s="180"/>
      <c r="E173" s="180"/>
      <c r="F173" s="180"/>
      <c r="G173" s="220"/>
      <c r="H173" s="220"/>
      <c r="I173" s="180"/>
      <c r="J173" s="180"/>
      <c r="K173" s="180"/>
      <c r="L173" s="180"/>
      <c r="M173" s="180"/>
      <c r="N173" s="180"/>
    </row>
    <row r="174" spans="1:14" ht="24.75" customHeight="1">
      <c r="A174" s="182" t="s">
        <v>1237</v>
      </c>
      <c r="B174" s="183"/>
      <c r="C174" s="210"/>
      <c r="D174" s="210"/>
      <c r="E174" s="183"/>
      <c r="F174" s="183"/>
      <c r="G174" s="184"/>
      <c r="H174" s="184"/>
      <c r="I174" s="184"/>
      <c r="J174" s="184"/>
      <c r="K174" s="184"/>
      <c r="L174" s="184"/>
      <c r="M174" s="183"/>
      <c r="N174" s="183"/>
    </row>
    <row r="175" spans="1:16" s="181" customFormat="1" ht="24" customHeight="1">
      <c r="A175" s="185" t="s">
        <v>221</v>
      </c>
      <c r="B175" s="185" t="s">
        <v>281</v>
      </c>
      <c r="C175" s="185" t="s">
        <v>239</v>
      </c>
      <c r="D175" s="185" t="s">
        <v>218</v>
      </c>
      <c r="E175" s="618" t="s">
        <v>222</v>
      </c>
      <c r="F175" s="618"/>
      <c r="G175" s="618" t="s">
        <v>282</v>
      </c>
      <c r="H175" s="618"/>
      <c r="I175" s="618" t="s">
        <v>541</v>
      </c>
      <c r="J175" s="426" t="s">
        <v>1171</v>
      </c>
      <c r="K175" s="618" t="s">
        <v>126</v>
      </c>
      <c r="L175" s="618"/>
      <c r="M175" s="616" t="s">
        <v>224</v>
      </c>
      <c r="N175" s="616"/>
      <c r="P175" s="179"/>
    </row>
    <row r="176" spans="1:16" s="181" customFormat="1" ht="24" customHeight="1">
      <c r="A176" s="185" t="s">
        <v>283</v>
      </c>
      <c r="B176" s="185"/>
      <c r="C176" s="185" t="s">
        <v>284</v>
      </c>
      <c r="D176" s="185" t="s">
        <v>219</v>
      </c>
      <c r="E176" s="187"/>
      <c r="F176" s="187"/>
      <c r="G176" s="187"/>
      <c r="H176" s="187"/>
      <c r="I176" s="187"/>
      <c r="J176" s="187" t="s">
        <v>1172</v>
      </c>
      <c r="K176" s="187"/>
      <c r="L176" s="187"/>
      <c r="M176" s="185"/>
      <c r="N176" s="185"/>
      <c r="P176" s="179"/>
    </row>
    <row r="177" spans="1:16" s="181" customFormat="1" ht="24" customHeight="1">
      <c r="A177" s="185"/>
      <c r="B177" s="185"/>
      <c r="C177" s="185"/>
      <c r="D177" s="185"/>
      <c r="E177" s="186"/>
      <c r="F177" s="186"/>
      <c r="G177" s="186"/>
      <c r="H177" s="186"/>
      <c r="I177" s="186"/>
      <c r="J177" s="186" t="s">
        <v>1173</v>
      </c>
      <c r="K177" s="186"/>
      <c r="L177" s="186"/>
      <c r="M177" s="185"/>
      <c r="N177" s="185"/>
      <c r="P177" s="179"/>
    </row>
    <row r="178" spans="1:16" s="181" customFormat="1" ht="24" customHeight="1">
      <c r="A178" s="185"/>
      <c r="C178" s="185"/>
      <c r="D178" s="185"/>
      <c r="E178" s="620" t="s">
        <v>225</v>
      </c>
      <c r="F178" s="620"/>
      <c r="G178" s="620" t="s">
        <v>285</v>
      </c>
      <c r="H178" s="620"/>
      <c r="I178" s="620" t="s">
        <v>226</v>
      </c>
      <c r="J178" s="620"/>
      <c r="K178" s="620" t="s">
        <v>226</v>
      </c>
      <c r="L178" s="620"/>
      <c r="M178" s="621" t="s">
        <v>226</v>
      </c>
      <c r="N178" s="621"/>
      <c r="P178" s="179"/>
    </row>
    <row r="179" spans="1:14" ht="24" customHeight="1">
      <c r="A179" s="182"/>
      <c r="B179" s="182"/>
      <c r="C179" s="186"/>
      <c r="D179" s="186"/>
      <c r="E179" s="188" t="s">
        <v>898</v>
      </c>
      <c r="F179" s="188" t="s">
        <v>747</v>
      </c>
      <c r="G179" s="188" t="s">
        <v>898</v>
      </c>
      <c r="H179" s="188" t="s">
        <v>747</v>
      </c>
      <c r="I179" s="188" t="s">
        <v>898</v>
      </c>
      <c r="J179" s="188" t="s">
        <v>747</v>
      </c>
      <c r="K179" s="188" t="s">
        <v>898</v>
      </c>
      <c r="L179" s="188" t="s">
        <v>747</v>
      </c>
      <c r="M179" s="188" t="s">
        <v>898</v>
      </c>
      <c r="N179" s="188" t="s">
        <v>747</v>
      </c>
    </row>
    <row r="180" spans="1:14" ht="24" customHeight="1">
      <c r="A180" s="189">
        <v>92</v>
      </c>
      <c r="B180" s="218" t="s">
        <v>877</v>
      </c>
      <c r="C180" s="221" t="s">
        <v>145</v>
      </c>
      <c r="D180" s="191" t="s">
        <v>228</v>
      </c>
      <c r="E180" s="194">
        <v>100000</v>
      </c>
      <c r="F180" s="194">
        <v>100000</v>
      </c>
      <c r="G180" s="643">
        <v>3.5</v>
      </c>
      <c r="H180" s="313">
        <v>3.5</v>
      </c>
      <c r="I180" s="643">
        <v>3500000</v>
      </c>
      <c r="J180" s="313">
        <v>3500000</v>
      </c>
      <c r="K180" s="643">
        <v>3500000</v>
      </c>
      <c r="L180" s="313">
        <v>3500000</v>
      </c>
      <c r="M180" s="653">
        <v>105000</v>
      </c>
      <c r="N180" s="366">
        <v>105000</v>
      </c>
    </row>
    <row r="181" spans="1:14" ht="24" customHeight="1">
      <c r="A181" s="189">
        <v>93</v>
      </c>
      <c r="B181" s="218" t="s">
        <v>460</v>
      </c>
      <c r="C181" s="219" t="s">
        <v>227</v>
      </c>
      <c r="D181" s="191" t="s">
        <v>179</v>
      </c>
      <c r="E181" s="192">
        <v>30000</v>
      </c>
      <c r="F181" s="192">
        <v>30000</v>
      </c>
      <c r="G181" s="645">
        <v>10</v>
      </c>
      <c r="H181" s="314">
        <v>10</v>
      </c>
      <c r="I181" s="645">
        <v>3000000</v>
      </c>
      <c r="J181" s="314">
        <v>3000000</v>
      </c>
      <c r="K181" s="645">
        <v>3000000</v>
      </c>
      <c r="L181" s="314">
        <v>3000000</v>
      </c>
      <c r="M181" s="653">
        <v>0</v>
      </c>
      <c r="N181" s="313">
        <v>450000</v>
      </c>
    </row>
    <row r="182" spans="1:14" ht="24" customHeight="1">
      <c r="A182" s="189">
        <v>94</v>
      </c>
      <c r="B182" s="190" t="s">
        <v>878</v>
      </c>
      <c r="C182" s="191" t="s">
        <v>316</v>
      </c>
      <c r="D182" s="193" t="s">
        <v>230</v>
      </c>
      <c r="E182" s="204">
        <v>16500</v>
      </c>
      <c r="F182" s="204">
        <v>16500</v>
      </c>
      <c r="G182" s="643">
        <v>6</v>
      </c>
      <c r="H182" s="313">
        <v>6</v>
      </c>
      <c r="I182" s="643">
        <v>3000000</v>
      </c>
      <c r="J182" s="313">
        <v>3000000</v>
      </c>
      <c r="K182" s="643">
        <v>3000000</v>
      </c>
      <c r="L182" s="313">
        <v>3000000</v>
      </c>
      <c r="M182" s="653">
        <v>0</v>
      </c>
      <c r="N182" s="365">
        <v>0</v>
      </c>
    </row>
    <row r="183" spans="1:14" ht="24" customHeight="1">
      <c r="A183" s="189">
        <v>95</v>
      </c>
      <c r="B183" s="198" t="s">
        <v>879</v>
      </c>
      <c r="C183" s="199" t="s">
        <v>192</v>
      </c>
      <c r="D183" s="191" t="s">
        <v>178</v>
      </c>
      <c r="E183" s="192">
        <v>55000</v>
      </c>
      <c r="F183" s="192">
        <v>55000</v>
      </c>
      <c r="G183" s="643">
        <v>5.45</v>
      </c>
      <c r="H183" s="313">
        <v>5.45</v>
      </c>
      <c r="I183" s="643">
        <v>3000000</v>
      </c>
      <c r="J183" s="313">
        <v>3000000</v>
      </c>
      <c r="K183" s="643">
        <v>3000000</v>
      </c>
      <c r="L183" s="313">
        <v>3000000</v>
      </c>
      <c r="M183" s="653">
        <v>300000</v>
      </c>
      <c r="N183" s="365">
        <v>0</v>
      </c>
    </row>
    <row r="184" spans="1:14" ht="24" customHeight="1">
      <c r="A184" s="189">
        <v>96</v>
      </c>
      <c r="B184" s="218" t="s">
        <v>462</v>
      </c>
      <c r="C184" s="219" t="s">
        <v>142</v>
      </c>
      <c r="D184" s="191" t="s">
        <v>233</v>
      </c>
      <c r="E184" s="192">
        <v>20000</v>
      </c>
      <c r="F184" s="192">
        <v>20000</v>
      </c>
      <c r="G184" s="645">
        <v>3.38</v>
      </c>
      <c r="H184" s="314">
        <v>3.38</v>
      </c>
      <c r="I184" s="645">
        <v>2700000</v>
      </c>
      <c r="J184" s="314">
        <v>2700000</v>
      </c>
      <c r="K184" s="645">
        <v>2700000</v>
      </c>
      <c r="L184" s="314">
        <v>2700000</v>
      </c>
      <c r="M184" s="653">
        <v>189000</v>
      </c>
      <c r="N184" s="365">
        <v>189000</v>
      </c>
    </row>
    <row r="185" spans="1:14" ht="24" customHeight="1">
      <c r="A185" s="189">
        <v>97</v>
      </c>
      <c r="B185" s="218" t="s">
        <v>880</v>
      </c>
      <c r="C185" s="199" t="s">
        <v>193</v>
      </c>
      <c r="D185" s="191"/>
      <c r="E185" s="192"/>
      <c r="F185" s="192"/>
      <c r="G185" s="643"/>
      <c r="H185" s="313"/>
      <c r="I185" s="643"/>
      <c r="J185" s="313"/>
      <c r="K185" s="643"/>
      <c r="L185" s="313"/>
      <c r="M185" s="653"/>
      <c r="N185" s="365"/>
    </row>
    <row r="186" spans="1:14" ht="24" customHeight="1">
      <c r="A186" s="223"/>
      <c r="B186" s="218" t="s">
        <v>309</v>
      </c>
      <c r="C186" s="219" t="s">
        <v>194</v>
      </c>
      <c r="D186" s="191" t="s">
        <v>233</v>
      </c>
      <c r="E186" s="194">
        <v>21952</v>
      </c>
      <c r="F186" s="194">
        <v>31360</v>
      </c>
      <c r="G186" s="643">
        <v>7.14</v>
      </c>
      <c r="H186" s="313">
        <v>7.14</v>
      </c>
      <c r="I186" s="643">
        <f>2240000-672000</f>
        <v>1568000</v>
      </c>
      <c r="J186" s="313">
        <v>2240000</v>
      </c>
      <c r="K186" s="643">
        <f>2240000-672000</f>
        <v>1568000</v>
      </c>
      <c r="L186" s="313">
        <v>2240000</v>
      </c>
      <c r="M186" s="653">
        <v>0</v>
      </c>
      <c r="N186" s="365">
        <v>0</v>
      </c>
    </row>
    <row r="187" spans="1:14" ht="24" customHeight="1">
      <c r="A187" s="189">
        <v>98</v>
      </c>
      <c r="B187" s="218" t="s">
        <v>455</v>
      </c>
      <c r="C187" s="219" t="s">
        <v>136</v>
      </c>
      <c r="D187" s="191" t="s">
        <v>233</v>
      </c>
      <c r="E187" s="194">
        <v>28000</v>
      </c>
      <c r="F187" s="192">
        <v>28000</v>
      </c>
      <c r="G187" s="645">
        <v>9</v>
      </c>
      <c r="H187" s="314">
        <v>9</v>
      </c>
      <c r="I187" s="643">
        <v>2521000</v>
      </c>
      <c r="J187" s="313">
        <v>2521000</v>
      </c>
      <c r="K187" s="643">
        <v>2521000</v>
      </c>
      <c r="L187" s="313">
        <v>2521000</v>
      </c>
      <c r="M187" s="653">
        <v>5042000</v>
      </c>
      <c r="N187" s="313">
        <v>378150</v>
      </c>
    </row>
    <row r="188" spans="1:14" ht="24" customHeight="1">
      <c r="A188" s="189">
        <v>99</v>
      </c>
      <c r="B188" s="190" t="s">
        <v>1254</v>
      </c>
      <c r="C188" s="191"/>
      <c r="D188" s="193"/>
      <c r="E188" s="211"/>
      <c r="F188" s="211"/>
      <c r="G188" s="643"/>
      <c r="H188" s="643"/>
      <c r="I188" s="643"/>
      <c r="J188" s="643"/>
      <c r="K188" s="643"/>
      <c r="L188" s="643"/>
      <c r="M188" s="643"/>
      <c r="N188" s="643"/>
    </row>
    <row r="189" spans="1:2" ht="24" customHeight="1">
      <c r="A189" s="223"/>
      <c r="B189" s="190" t="s">
        <v>1255</v>
      </c>
    </row>
    <row r="190" spans="1:14" ht="24" customHeight="1">
      <c r="A190" s="223"/>
      <c r="B190" s="190" t="s">
        <v>1256</v>
      </c>
      <c r="C190" s="191"/>
      <c r="D190" s="193"/>
      <c r="E190" s="646"/>
      <c r="F190" s="363"/>
      <c r="G190" s="643"/>
      <c r="H190" s="313"/>
      <c r="I190" s="643"/>
      <c r="J190" s="313"/>
      <c r="K190" s="643"/>
      <c r="L190" s="313"/>
      <c r="M190" s="653"/>
      <c r="N190" s="313"/>
    </row>
    <row r="191" spans="1:14" ht="24" customHeight="1">
      <c r="A191" s="223"/>
      <c r="B191" s="190" t="s">
        <v>1257</v>
      </c>
      <c r="C191" s="191" t="s">
        <v>301</v>
      </c>
      <c r="D191" s="193" t="s">
        <v>181</v>
      </c>
      <c r="E191" s="646" t="s">
        <v>1258</v>
      </c>
      <c r="F191" s="363" t="s">
        <v>775</v>
      </c>
      <c r="G191" s="643">
        <v>18</v>
      </c>
      <c r="H191" s="313">
        <v>18</v>
      </c>
      <c r="I191" s="643">
        <f>2161197.26+2322800</f>
        <v>4483997.26</v>
      </c>
      <c r="J191" s="313">
        <v>2161197.26</v>
      </c>
      <c r="K191" s="643">
        <f>2161197.26+2322800</f>
        <v>4483997.26</v>
      </c>
      <c r="L191" s="313">
        <v>2161197.26</v>
      </c>
      <c r="M191" s="653">
        <v>0</v>
      </c>
      <c r="N191" s="313">
        <v>0</v>
      </c>
    </row>
    <row r="192" spans="1:16" s="200" customFormat="1" ht="24" customHeight="1">
      <c r="A192" s="189">
        <v>100</v>
      </c>
      <c r="B192" s="218" t="s">
        <v>472</v>
      </c>
      <c r="C192" s="219" t="s">
        <v>154</v>
      </c>
      <c r="D192" s="191" t="s">
        <v>228</v>
      </c>
      <c r="E192" s="194">
        <v>20000</v>
      </c>
      <c r="F192" s="194">
        <v>20000</v>
      </c>
      <c r="G192" s="643">
        <v>10</v>
      </c>
      <c r="H192" s="313">
        <v>10</v>
      </c>
      <c r="I192" s="643">
        <v>2000000</v>
      </c>
      <c r="J192" s="313">
        <v>2000000</v>
      </c>
      <c r="K192" s="643">
        <v>2000000</v>
      </c>
      <c r="L192" s="313">
        <v>2000000</v>
      </c>
      <c r="M192" s="653">
        <v>0</v>
      </c>
      <c r="N192" s="365">
        <v>100000</v>
      </c>
      <c r="P192" s="179"/>
    </row>
    <row r="193" spans="1:14" ht="24" customHeight="1">
      <c r="A193" s="189">
        <v>101</v>
      </c>
      <c r="B193" s="179" t="s">
        <v>1310</v>
      </c>
      <c r="C193" s="193" t="s">
        <v>190</v>
      </c>
      <c r="D193" s="191" t="s">
        <v>178</v>
      </c>
      <c r="E193" s="192">
        <v>25000</v>
      </c>
      <c r="F193" s="192">
        <v>25000</v>
      </c>
      <c r="G193" s="645">
        <v>8</v>
      </c>
      <c r="H193" s="314">
        <v>8</v>
      </c>
      <c r="I193" s="645">
        <v>2000000</v>
      </c>
      <c r="J193" s="314">
        <v>2000000</v>
      </c>
      <c r="K193" s="645">
        <v>2000000</v>
      </c>
      <c r="L193" s="314">
        <v>2000000</v>
      </c>
      <c r="M193" s="653">
        <v>0</v>
      </c>
      <c r="N193" s="365">
        <v>0</v>
      </c>
    </row>
    <row r="194" spans="1:14" ht="24" customHeight="1">
      <c r="A194" s="189">
        <v>102</v>
      </c>
      <c r="B194" s="218" t="s">
        <v>1311</v>
      </c>
      <c r="C194" s="199"/>
      <c r="D194" s="191"/>
      <c r="E194" s="192"/>
      <c r="F194" s="192"/>
      <c r="G194" s="643"/>
      <c r="H194" s="313"/>
      <c r="I194" s="643"/>
      <c r="J194" s="313"/>
      <c r="K194" s="643"/>
      <c r="L194" s="313"/>
      <c r="M194" s="655"/>
      <c r="N194" s="366"/>
    </row>
    <row r="195" spans="1:14" ht="24" customHeight="1">
      <c r="A195" s="223"/>
      <c r="B195" s="198" t="s">
        <v>309</v>
      </c>
      <c r="C195" s="199" t="s">
        <v>171</v>
      </c>
      <c r="D195" s="191" t="s">
        <v>228</v>
      </c>
      <c r="E195" s="192">
        <v>33000</v>
      </c>
      <c r="F195" s="192">
        <v>30000</v>
      </c>
      <c r="G195" s="643">
        <v>14.27</v>
      </c>
      <c r="H195" s="313">
        <v>6.67</v>
      </c>
      <c r="I195" s="643">
        <f>2000000+30537000</f>
        <v>32537000</v>
      </c>
      <c r="J195" s="313">
        <v>2000000</v>
      </c>
      <c r="K195" s="643">
        <f>2000000+30537000</f>
        <v>32537000</v>
      </c>
      <c r="L195" s="313">
        <v>2000000</v>
      </c>
      <c r="M195" s="653">
        <v>700000</v>
      </c>
      <c r="N195" s="365">
        <v>680000</v>
      </c>
    </row>
    <row r="196" spans="1:16" s="200" customFormat="1" ht="24" customHeight="1">
      <c r="A196" s="189">
        <v>103</v>
      </c>
      <c r="B196" s="218" t="s">
        <v>474</v>
      </c>
      <c r="C196" s="221" t="s">
        <v>165</v>
      </c>
      <c r="D196" s="199" t="s">
        <v>180</v>
      </c>
      <c r="E196" s="194">
        <v>20000</v>
      </c>
      <c r="F196" s="194">
        <v>20000</v>
      </c>
      <c r="G196" s="643">
        <v>10</v>
      </c>
      <c r="H196" s="313">
        <v>10</v>
      </c>
      <c r="I196" s="643">
        <v>2000000</v>
      </c>
      <c r="J196" s="313">
        <v>2000000</v>
      </c>
      <c r="K196" s="643">
        <v>2000000</v>
      </c>
      <c r="L196" s="313">
        <v>2000000</v>
      </c>
      <c r="M196" s="653">
        <v>0</v>
      </c>
      <c r="N196" s="313">
        <v>0</v>
      </c>
      <c r="P196" s="179"/>
    </row>
    <row r="197" spans="1:16" s="200" customFormat="1" ht="24" customHeight="1">
      <c r="A197" s="189">
        <v>104</v>
      </c>
      <c r="B197" s="218" t="s">
        <v>381</v>
      </c>
      <c r="C197" s="219" t="s">
        <v>195</v>
      </c>
      <c r="D197" s="191" t="s">
        <v>230</v>
      </c>
      <c r="E197" s="646" t="s">
        <v>41</v>
      </c>
      <c r="F197" s="363" t="s">
        <v>41</v>
      </c>
      <c r="G197" s="643">
        <v>18.33</v>
      </c>
      <c r="H197" s="313">
        <v>18.33</v>
      </c>
      <c r="I197" s="643">
        <v>1997600</v>
      </c>
      <c r="J197" s="313">
        <v>1997600</v>
      </c>
      <c r="K197" s="643">
        <v>1997600</v>
      </c>
      <c r="L197" s="313">
        <v>1997600</v>
      </c>
      <c r="M197" s="653">
        <v>0</v>
      </c>
      <c r="N197" s="365">
        <v>0</v>
      </c>
      <c r="P197" s="179"/>
    </row>
    <row r="198" spans="1:2" ht="24" customHeight="1">
      <c r="A198" s="189">
        <v>105</v>
      </c>
      <c r="B198" s="218" t="s">
        <v>1259</v>
      </c>
    </row>
    <row r="199" spans="1:14" ht="24" customHeight="1">
      <c r="A199" s="189"/>
      <c r="B199" s="198" t="s">
        <v>1260</v>
      </c>
      <c r="C199" s="219" t="s">
        <v>297</v>
      </c>
      <c r="D199" s="191" t="s">
        <v>230</v>
      </c>
      <c r="E199" s="646" t="s">
        <v>560</v>
      </c>
      <c r="F199" s="363" t="s">
        <v>560</v>
      </c>
      <c r="G199" s="643">
        <v>18</v>
      </c>
      <c r="H199" s="313">
        <v>18</v>
      </c>
      <c r="I199" s="653">
        <v>1781720</v>
      </c>
      <c r="J199" s="365">
        <v>1781720</v>
      </c>
      <c r="K199" s="653">
        <v>1781720</v>
      </c>
      <c r="L199" s="365">
        <v>1781720</v>
      </c>
      <c r="M199" s="653">
        <v>0</v>
      </c>
      <c r="N199" s="365">
        <v>0</v>
      </c>
    </row>
    <row r="200" spans="1:14" ht="24" customHeight="1">
      <c r="A200" s="189">
        <v>106</v>
      </c>
      <c r="B200" s="190" t="s">
        <v>1312</v>
      </c>
      <c r="C200" s="191" t="s">
        <v>227</v>
      </c>
      <c r="D200" s="193" t="s">
        <v>178</v>
      </c>
      <c r="E200" s="204">
        <v>10000</v>
      </c>
      <c r="F200" s="204">
        <v>10000</v>
      </c>
      <c r="G200" s="643">
        <v>15</v>
      </c>
      <c r="H200" s="313">
        <v>15</v>
      </c>
      <c r="I200" s="643">
        <v>1500000</v>
      </c>
      <c r="J200" s="313">
        <v>1500000</v>
      </c>
      <c r="K200" s="643">
        <v>1500000</v>
      </c>
      <c r="L200" s="313">
        <v>1500000</v>
      </c>
      <c r="M200" s="653">
        <v>1500000</v>
      </c>
      <c r="N200" s="365">
        <v>1500000</v>
      </c>
    </row>
    <row r="201" spans="1:14" ht="24" customHeight="1">
      <c r="A201" s="189">
        <v>107</v>
      </c>
      <c r="B201" s="218" t="s">
        <v>1313</v>
      </c>
      <c r="C201" s="199" t="s">
        <v>167</v>
      </c>
      <c r="D201" s="191"/>
      <c r="E201" s="192"/>
      <c r="F201" s="192"/>
      <c r="G201" s="645"/>
      <c r="H201" s="314"/>
      <c r="I201" s="645"/>
      <c r="J201" s="314"/>
      <c r="K201" s="645"/>
      <c r="L201" s="314"/>
      <c r="M201" s="653"/>
      <c r="N201" s="365"/>
    </row>
    <row r="202" spans="1:14" ht="24" customHeight="1">
      <c r="A202" s="223"/>
      <c r="B202" s="218" t="s">
        <v>776</v>
      </c>
      <c r="C202" s="199" t="s">
        <v>168</v>
      </c>
      <c r="D202" s="191" t="s">
        <v>233</v>
      </c>
      <c r="E202" s="192">
        <v>15000</v>
      </c>
      <c r="F202" s="192">
        <v>15000</v>
      </c>
      <c r="G202" s="645">
        <v>10</v>
      </c>
      <c r="H202" s="314">
        <v>10</v>
      </c>
      <c r="I202" s="645">
        <v>1500000</v>
      </c>
      <c r="J202" s="314">
        <v>1500000</v>
      </c>
      <c r="K202" s="645">
        <v>1500000</v>
      </c>
      <c r="L202" s="314">
        <v>1500000</v>
      </c>
      <c r="M202" s="653">
        <v>0</v>
      </c>
      <c r="N202" s="365">
        <v>0</v>
      </c>
    </row>
    <row r="203" spans="1:14" ht="24" customHeight="1">
      <c r="A203" s="189">
        <v>108</v>
      </c>
      <c r="B203" s="218" t="s">
        <v>469</v>
      </c>
      <c r="C203" s="199" t="s">
        <v>468</v>
      </c>
      <c r="D203" s="191" t="s">
        <v>280</v>
      </c>
      <c r="E203" s="192">
        <v>50000</v>
      </c>
      <c r="F203" s="192">
        <v>50000</v>
      </c>
      <c r="G203" s="643">
        <v>2</v>
      </c>
      <c r="H203" s="313">
        <v>2</v>
      </c>
      <c r="I203" s="643">
        <v>1000000</v>
      </c>
      <c r="J203" s="313">
        <v>1000000</v>
      </c>
      <c r="K203" s="643">
        <v>1000000</v>
      </c>
      <c r="L203" s="313">
        <v>1000000</v>
      </c>
      <c r="M203" s="653">
        <v>0</v>
      </c>
      <c r="N203" s="366">
        <v>0</v>
      </c>
    </row>
    <row r="204" spans="1:2" ht="24" customHeight="1">
      <c r="A204" s="189">
        <v>109</v>
      </c>
      <c r="B204" s="218" t="s">
        <v>1314</v>
      </c>
    </row>
    <row r="205" spans="1:14" ht="24" customHeight="1">
      <c r="A205" s="189"/>
      <c r="B205" s="218" t="s">
        <v>1261</v>
      </c>
      <c r="C205" s="199" t="s">
        <v>802</v>
      </c>
      <c r="D205" s="191" t="s">
        <v>143</v>
      </c>
      <c r="E205" s="192">
        <v>5000</v>
      </c>
      <c r="F205" s="192">
        <v>5000</v>
      </c>
      <c r="G205" s="643">
        <v>19.99</v>
      </c>
      <c r="H205" s="313">
        <v>19.99</v>
      </c>
      <c r="I205" s="643">
        <v>999500</v>
      </c>
      <c r="J205" s="313">
        <v>999500</v>
      </c>
      <c r="K205" s="643">
        <v>999500</v>
      </c>
      <c r="L205" s="313">
        <v>999500</v>
      </c>
      <c r="M205" s="653">
        <v>3278360</v>
      </c>
      <c r="N205" s="365">
        <v>2398800</v>
      </c>
    </row>
    <row r="206" spans="1:14" ht="24" customHeight="1">
      <c r="A206" s="189">
        <v>110</v>
      </c>
      <c r="B206" s="190" t="s">
        <v>452</v>
      </c>
      <c r="C206" s="191" t="s">
        <v>323</v>
      </c>
      <c r="D206" s="193" t="s">
        <v>230</v>
      </c>
      <c r="E206" s="194">
        <v>12000</v>
      </c>
      <c r="F206" s="194">
        <v>12000</v>
      </c>
      <c r="G206" s="645">
        <v>4.75</v>
      </c>
      <c r="H206" s="313">
        <v>4.75</v>
      </c>
      <c r="I206" s="645">
        <v>570000</v>
      </c>
      <c r="J206" s="313">
        <v>570000</v>
      </c>
      <c r="K206" s="645">
        <v>570000</v>
      </c>
      <c r="L206" s="313">
        <v>570000</v>
      </c>
      <c r="M206" s="653">
        <v>0</v>
      </c>
      <c r="N206" s="365">
        <v>0</v>
      </c>
    </row>
    <row r="207" spans="1:14" ht="24" customHeight="1">
      <c r="A207" s="189">
        <v>111</v>
      </c>
      <c r="B207" s="218" t="s">
        <v>459</v>
      </c>
      <c r="C207" s="219" t="s">
        <v>155</v>
      </c>
      <c r="D207" s="191" t="s">
        <v>141</v>
      </c>
      <c r="E207" s="192">
        <v>30000</v>
      </c>
      <c r="F207" s="192">
        <v>30000</v>
      </c>
      <c r="G207" s="645">
        <v>1.67</v>
      </c>
      <c r="H207" s="314">
        <v>1.67</v>
      </c>
      <c r="I207" s="645">
        <v>500000</v>
      </c>
      <c r="J207" s="314">
        <v>500000</v>
      </c>
      <c r="K207" s="645">
        <v>500000</v>
      </c>
      <c r="L207" s="314">
        <v>500000</v>
      </c>
      <c r="M207" s="653">
        <v>0</v>
      </c>
      <c r="N207" s="313">
        <v>0</v>
      </c>
    </row>
    <row r="208" spans="1:14" ht="24" customHeight="1">
      <c r="A208" s="189">
        <v>112</v>
      </c>
      <c r="B208" s="218" t="s">
        <v>804</v>
      </c>
      <c r="C208" s="199" t="s">
        <v>169</v>
      </c>
      <c r="D208" s="191"/>
      <c r="E208" s="192"/>
      <c r="F208" s="192"/>
      <c r="I208" s="197"/>
      <c r="J208" s="197"/>
      <c r="K208" s="197"/>
      <c r="L208" s="197"/>
      <c r="M208" s="197"/>
      <c r="N208" s="197"/>
    </row>
    <row r="209" spans="1:14" ht="24" customHeight="1">
      <c r="A209" s="223"/>
      <c r="B209" s="198"/>
      <c r="C209" s="199" t="s">
        <v>170</v>
      </c>
      <c r="D209" s="191" t="s">
        <v>181</v>
      </c>
      <c r="E209" s="192">
        <v>2000</v>
      </c>
      <c r="F209" s="192">
        <v>2000</v>
      </c>
      <c r="G209" s="645">
        <v>15</v>
      </c>
      <c r="H209" s="314">
        <v>15</v>
      </c>
      <c r="I209" s="645">
        <v>300000</v>
      </c>
      <c r="J209" s="314">
        <v>300000</v>
      </c>
      <c r="K209" s="645">
        <v>300000</v>
      </c>
      <c r="L209" s="314">
        <v>300000</v>
      </c>
      <c r="M209" s="653">
        <v>0</v>
      </c>
      <c r="N209" s="365">
        <v>0</v>
      </c>
    </row>
    <row r="210" spans="1:2" ht="24" customHeight="1">
      <c r="A210" s="189">
        <v>113</v>
      </c>
      <c r="B210" s="218" t="s">
        <v>1262</v>
      </c>
    </row>
    <row r="211" spans="1:14" ht="24" customHeight="1">
      <c r="A211" s="189"/>
      <c r="B211" s="218" t="s">
        <v>1263</v>
      </c>
      <c r="C211" s="219" t="s">
        <v>777</v>
      </c>
      <c r="D211" s="191" t="s">
        <v>230</v>
      </c>
      <c r="E211" s="646" t="s">
        <v>778</v>
      </c>
      <c r="F211" s="363" t="s">
        <v>778</v>
      </c>
      <c r="G211" s="645">
        <v>9</v>
      </c>
      <c r="H211" s="314">
        <v>9</v>
      </c>
      <c r="I211" s="645">
        <v>313370</v>
      </c>
      <c r="J211" s="314">
        <v>313370</v>
      </c>
      <c r="K211" s="645">
        <v>313370</v>
      </c>
      <c r="L211" s="314">
        <v>313370</v>
      </c>
      <c r="M211" s="653">
        <v>0</v>
      </c>
      <c r="N211" s="365">
        <v>0</v>
      </c>
    </row>
    <row r="212" spans="1:14" ht="24" customHeight="1">
      <c r="A212" s="189">
        <v>114</v>
      </c>
      <c r="B212" s="218" t="s">
        <v>465</v>
      </c>
      <c r="C212" s="219" t="s">
        <v>163</v>
      </c>
      <c r="D212" s="191" t="s">
        <v>179</v>
      </c>
      <c r="E212" s="192">
        <v>5000</v>
      </c>
      <c r="F212" s="192">
        <v>5000</v>
      </c>
      <c r="G212" s="645">
        <v>5.42</v>
      </c>
      <c r="H212" s="314">
        <v>5.42</v>
      </c>
      <c r="I212" s="645">
        <v>270800</v>
      </c>
      <c r="J212" s="314">
        <v>270800</v>
      </c>
      <c r="K212" s="645">
        <v>270800</v>
      </c>
      <c r="L212" s="314">
        <v>270800</v>
      </c>
      <c r="M212" s="653">
        <v>270800</v>
      </c>
      <c r="N212" s="365">
        <v>13540</v>
      </c>
    </row>
    <row r="213" spans="1:14" ht="24" customHeight="1">
      <c r="A213" s="223">
        <v>115</v>
      </c>
      <c r="B213" s="218" t="s">
        <v>1315</v>
      </c>
      <c r="C213" s="219" t="s">
        <v>1316</v>
      </c>
      <c r="D213" s="191" t="s">
        <v>230</v>
      </c>
      <c r="E213" s="192">
        <v>140000</v>
      </c>
      <c r="F213" s="313">
        <v>0</v>
      </c>
      <c r="G213" s="645">
        <v>15</v>
      </c>
      <c r="H213" s="645">
        <v>0</v>
      </c>
      <c r="I213" s="645">
        <v>21000000</v>
      </c>
      <c r="J213" s="645">
        <v>0</v>
      </c>
      <c r="K213" s="645">
        <v>21000000</v>
      </c>
      <c r="L213" s="645">
        <v>0</v>
      </c>
      <c r="M213" s="653">
        <v>0</v>
      </c>
      <c r="N213" s="653">
        <v>0</v>
      </c>
    </row>
    <row r="214" spans="1:2" ht="24" customHeight="1">
      <c r="A214" s="189">
        <v>116</v>
      </c>
      <c r="B214" s="190" t="s">
        <v>1264</v>
      </c>
    </row>
    <row r="215" spans="2:14" ht="24" customHeight="1">
      <c r="B215" s="179" t="s">
        <v>1265</v>
      </c>
      <c r="C215" s="191" t="s">
        <v>305</v>
      </c>
      <c r="D215" s="193"/>
      <c r="E215" s="204"/>
      <c r="F215" s="204"/>
      <c r="G215" s="643"/>
      <c r="H215" s="313"/>
      <c r="I215" s="643"/>
      <c r="J215" s="313"/>
      <c r="K215" s="643"/>
      <c r="L215" s="313"/>
      <c r="M215" s="653"/>
      <c r="N215" s="313"/>
    </row>
    <row r="216" spans="2:15" ht="24" customHeight="1">
      <c r="B216" s="179" t="s">
        <v>1266</v>
      </c>
      <c r="C216" s="191" t="s">
        <v>306</v>
      </c>
      <c r="D216" s="193" t="s">
        <v>233</v>
      </c>
      <c r="E216" s="643">
        <v>0</v>
      </c>
      <c r="F216" s="313">
        <v>0</v>
      </c>
      <c r="G216" s="643">
        <v>0</v>
      </c>
      <c r="H216" s="313">
        <v>0</v>
      </c>
      <c r="I216" s="643">
        <v>0</v>
      </c>
      <c r="J216" s="313">
        <v>0</v>
      </c>
      <c r="K216" s="643">
        <v>0</v>
      </c>
      <c r="L216" s="313">
        <v>0</v>
      </c>
      <c r="M216" s="653">
        <v>0</v>
      </c>
      <c r="N216" s="365">
        <v>110076992.59</v>
      </c>
      <c r="O216" s="623"/>
    </row>
    <row r="217" spans="1:15" ht="24" customHeight="1">
      <c r="A217" s="223"/>
      <c r="B217" s="226" t="s">
        <v>86</v>
      </c>
      <c r="D217" s="191"/>
      <c r="E217" s="191"/>
      <c r="F217" s="191"/>
      <c r="I217" s="649">
        <f aca="true" t="shared" si="2" ref="I217:N217">SUM(I42:I216)</f>
        <v>2337793080.26</v>
      </c>
      <c r="J217" s="649">
        <f t="shared" si="2"/>
        <v>1832601302.9400003</v>
      </c>
      <c r="K217" s="649">
        <f t="shared" si="2"/>
        <v>2336253722.67</v>
      </c>
      <c r="L217" s="649">
        <f t="shared" si="2"/>
        <v>1832601302.9400003</v>
      </c>
      <c r="M217" s="649">
        <f t="shared" si="2"/>
        <v>171233225</v>
      </c>
      <c r="N217" s="649">
        <f t="shared" si="2"/>
        <v>252590753.09</v>
      </c>
      <c r="O217" s="643">
        <f>SUM(O43:O215)</f>
        <v>0</v>
      </c>
    </row>
    <row r="218" spans="1:14" ht="24" customHeight="1">
      <c r="A218" s="223"/>
      <c r="B218" s="201" t="s">
        <v>325</v>
      </c>
      <c r="D218" s="191"/>
      <c r="E218" s="191"/>
      <c r="F218" s="191"/>
      <c r="I218" s="183">
        <f>-695946414.8+4000000-20313181.93-58880719.07</f>
        <v>-771140315.8</v>
      </c>
      <c r="J218" s="183">
        <v>-428420196.16</v>
      </c>
      <c r="K218" s="183">
        <f>-695946414.8+4000000-20313181.93-58880719.07</f>
        <v>-771140315.8</v>
      </c>
      <c r="L218" s="183">
        <v>-428420196.16</v>
      </c>
      <c r="M218" s="650">
        <v>0</v>
      </c>
      <c r="N218" s="205" t="s">
        <v>213</v>
      </c>
    </row>
    <row r="219" spans="1:14" ht="24" customHeight="1" thickBot="1">
      <c r="A219" s="223"/>
      <c r="B219" s="179" t="s">
        <v>359</v>
      </c>
      <c r="D219" s="191"/>
      <c r="E219" s="191"/>
      <c r="F219" s="191"/>
      <c r="I219" s="651">
        <f aca="true" t="shared" si="3" ref="I219:N219">SUM(I217:I218)</f>
        <v>1566652764.4600003</v>
      </c>
      <c r="J219" s="651">
        <f t="shared" si="3"/>
        <v>1404181106.7800002</v>
      </c>
      <c r="K219" s="651">
        <f t="shared" si="3"/>
        <v>1565113406.8700001</v>
      </c>
      <c r="L219" s="651">
        <f t="shared" si="3"/>
        <v>1404181106.7800002</v>
      </c>
      <c r="M219" s="651">
        <f t="shared" si="3"/>
        <v>171233225</v>
      </c>
      <c r="N219" s="651">
        <f t="shared" si="3"/>
        <v>252590753.09</v>
      </c>
    </row>
    <row r="220" spans="1:14" ht="24" customHeight="1" thickBot="1" thickTop="1">
      <c r="A220" s="223"/>
      <c r="B220" s="227" t="s">
        <v>326</v>
      </c>
      <c r="E220" s="185"/>
      <c r="F220" s="185"/>
      <c r="I220" s="656">
        <f aca="true" t="shared" si="4" ref="I220:N220">+I40+I219</f>
        <v>3958240776.96</v>
      </c>
      <c r="J220" s="656">
        <f t="shared" si="4"/>
        <v>4623436572.66</v>
      </c>
      <c r="K220" s="656">
        <f t="shared" si="4"/>
        <v>3956701419.37</v>
      </c>
      <c r="L220" s="656">
        <f t="shared" si="4"/>
        <v>4623436572.66</v>
      </c>
      <c r="M220" s="656">
        <f t="shared" si="4"/>
        <v>263383711.25</v>
      </c>
      <c r="N220" s="656">
        <f t="shared" si="4"/>
        <v>355877635.42</v>
      </c>
    </row>
    <row r="221" spans="1:14" ht="24" customHeight="1" thickTop="1">
      <c r="A221" s="223"/>
      <c r="B221" s="227"/>
      <c r="E221" s="185"/>
      <c r="F221" s="185"/>
      <c r="I221" s="658"/>
      <c r="J221" s="658"/>
      <c r="K221" s="658"/>
      <c r="L221" s="658"/>
      <c r="M221" s="658"/>
      <c r="N221" s="658"/>
    </row>
    <row r="222" spans="1:14" s="201" customFormat="1" ht="17.25">
      <c r="A222" s="657"/>
      <c r="D222" s="193"/>
      <c r="E222" s="193"/>
      <c r="F222" s="193"/>
      <c r="M222" s="643"/>
      <c r="N222" s="205"/>
    </row>
    <row r="223" spans="1:14" s="201" customFormat="1" ht="24" customHeight="1">
      <c r="A223" s="657"/>
      <c r="C223" s="179" t="s">
        <v>276</v>
      </c>
      <c r="D223" s="179"/>
      <c r="E223" s="179"/>
      <c r="F223" s="179"/>
      <c r="G223" s="179"/>
      <c r="M223" s="643"/>
      <c r="N223" s="205"/>
    </row>
    <row r="224" spans="1:14" s="201" customFormat="1" ht="24" customHeight="1">
      <c r="A224" s="657"/>
      <c r="C224" s="179" t="s">
        <v>630</v>
      </c>
      <c r="D224" s="179"/>
      <c r="E224" s="179"/>
      <c r="F224" s="179"/>
      <c r="G224" s="179" t="s">
        <v>277</v>
      </c>
      <c r="M224" s="643"/>
      <c r="N224" s="205"/>
    </row>
    <row r="225" spans="3:7" ht="24" customHeight="1">
      <c r="C225" s="179" t="s">
        <v>203</v>
      </c>
      <c r="G225" s="179" t="s">
        <v>279</v>
      </c>
    </row>
    <row r="226" spans="3:7" ht="24" customHeight="1">
      <c r="C226" s="179" t="s">
        <v>278</v>
      </c>
      <c r="G226" s="179" t="s">
        <v>176</v>
      </c>
    </row>
    <row r="227" ht="24" customHeight="1"/>
    <row r="228" ht="24" customHeight="1"/>
    <row r="229" spans="1:14" s="208" customFormat="1" ht="24.75" customHeight="1">
      <c r="A229" s="206" t="s">
        <v>1236</v>
      </c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</row>
    <row r="230" ht="24.75" customHeight="1">
      <c r="A230" s="191"/>
    </row>
    <row r="231" ht="24.75" customHeight="1">
      <c r="A231" s="191"/>
    </row>
    <row r="232" ht="24.75" customHeight="1">
      <c r="A232" s="191"/>
    </row>
    <row r="233" ht="24.75" customHeight="1">
      <c r="A233" s="191"/>
    </row>
    <row r="234" ht="24.75" customHeight="1">
      <c r="A234" s="191"/>
    </row>
    <row r="235" ht="24.75" customHeight="1">
      <c r="A235" s="191"/>
    </row>
    <row r="236" ht="24.75" customHeight="1">
      <c r="A236" s="191"/>
    </row>
    <row r="237" ht="24.75" customHeight="1">
      <c r="A237" s="191"/>
    </row>
    <row r="238" ht="24.75" customHeight="1">
      <c r="A238" s="191"/>
    </row>
    <row r="239" ht="24.75" customHeight="1">
      <c r="A239" s="191"/>
    </row>
    <row r="240" ht="24.75" customHeight="1">
      <c r="A240" s="191"/>
    </row>
    <row r="241" ht="24.75" customHeight="1">
      <c r="A241" s="191"/>
    </row>
    <row r="242" ht="24.75" customHeight="1">
      <c r="A242" s="191"/>
    </row>
    <row r="243" ht="24.75" customHeight="1">
      <c r="A243" s="191"/>
    </row>
    <row r="244" ht="24.75" customHeight="1">
      <c r="A244" s="191"/>
    </row>
    <row r="245" ht="24.75" customHeight="1">
      <c r="A245" s="191"/>
    </row>
    <row r="246" ht="24.75" customHeight="1">
      <c r="A246" s="191"/>
    </row>
    <row r="247" ht="24.75" customHeight="1">
      <c r="A247" s="191"/>
    </row>
    <row r="248" ht="24.75" customHeight="1">
      <c r="A248" s="191"/>
    </row>
    <row r="249" ht="24.75" customHeight="1">
      <c r="A249" s="191"/>
    </row>
    <row r="250" ht="24.75" customHeight="1">
      <c r="A250" s="191"/>
    </row>
    <row r="251" ht="24.75" customHeight="1">
      <c r="A251" s="191"/>
    </row>
    <row r="252" ht="24.75" customHeight="1">
      <c r="A252" s="191"/>
    </row>
    <row r="253" ht="24.75" customHeight="1">
      <c r="A253" s="191"/>
    </row>
    <row r="254" ht="24.75" customHeight="1">
      <c r="A254" s="191"/>
    </row>
    <row r="255" ht="24.75" customHeight="1">
      <c r="A255" s="191"/>
    </row>
    <row r="256" ht="24.75" customHeight="1">
      <c r="A256" s="191"/>
    </row>
    <row r="257" ht="24.75" customHeight="1">
      <c r="A257" s="191"/>
    </row>
    <row r="258" ht="24.75" customHeight="1">
      <c r="A258" s="191"/>
    </row>
    <row r="259" ht="24.75" customHeight="1">
      <c r="A259" s="191"/>
    </row>
    <row r="260" ht="24.75" customHeight="1">
      <c r="A260" s="191"/>
    </row>
    <row r="261" ht="24.75" customHeight="1">
      <c r="A261" s="191"/>
    </row>
    <row r="262" ht="24.75" customHeight="1">
      <c r="A262" s="191"/>
    </row>
    <row r="263" ht="24.75" customHeight="1">
      <c r="A263" s="191"/>
    </row>
    <row r="264" ht="24.75" customHeight="1">
      <c r="A264" s="191"/>
    </row>
    <row r="265" ht="24.75" customHeight="1">
      <c r="A265" s="191"/>
    </row>
    <row r="266" ht="24.75" customHeight="1">
      <c r="A266" s="191"/>
    </row>
    <row r="267" ht="24.75" customHeight="1">
      <c r="A267" s="191"/>
    </row>
    <row r="268" ht="24.75" customHeight="1">
      <c r="A268" s="191"/>
    </row>
    <row r="269" ht="24.75" customHeight="1">
      <c r="A269" s="191"/>
    </row>
    <row r="270" ht="24.75" customHeight="1">
      <c r="A270" s="191"/>
    </row>
    <row r="271" ht="24.75" customHeight="1">
      <c r="A271" s="191"/>
    </row>
    <row r="272" ht="24.75" customHeight="1">
      <c r="A272" s="191"/>
    </row>
    <row r="273" ht="24.75" customHeight="1">
      <c r="A273" s="191"/>
    </row>
    <row r="274" ht="24.75" customHeight="1">
      <c r="A274" s="191"/>
    </row>
    <row r="275" ht="24.75" customHeight="1">
      <c r="A275" s="191"/>
    </row>
    <row r="276" ht="24.75" customHeight="1">
      <c r="A276" s="191"/>
    </row>
    <row r="277" ht="24.75" customHeight="1">
      <c r="A277" s="191"/>
    </row>
    <row r="278" ht="24.75" customHeight="1">
      <c r="A278" s="191"/>
    </row>
    <row r="279" ht="24.75" customHeight="1">
      <c r="A279" s="191"/>
    </row>
    <row r="280" ht="24.75" customHeight="1">
      <c r="A280" s="191"/>
    </row>
    <row r="281" ht="24.75" customHeight="1">
      <c r="A281" s="191"/>
    </row>
    <row r="282" ht="24.75" customHeight="1">
      <c r="A282" s="191"/>
    </row>
    <row r="283" ht="24.75" customHeight="1">
      <c r="A283" s="191"/>
    </row>
    <row r="284" ht="24.75" customHeight="1">
      <c r="A284" s="191"/>
    </row>
    <row r="285" ht="24.75" customHeight="1">
      <c r="A285" s="191"/>
    </row>
    <row r="286" ht="24.75" customHeight="1">
      <c r="A286" s="191"/>
    </row>
    <row r="287" ht="24.75" customHeight="1">
      <c r="A287" s="191"/>
    </row>
    <row r="288" ht="24.75" customHeight="1">
      <c r="A288" s="191"/>
    </row>
    <row r="289" ht="24.75" customHeight="1">
      <c r="A289" s="191"/>
    </row>
    <row r="290" ht="24.75" customHeight="1">
      <c r="A290" s="191"/>
    </row>
    <row r="291" ht="24.75" customHeight="1">
      <c r="A291" s="191"/>
    </row>
    <row r="292" ht="24.75" customHeight="1">
      <c r="A292" s="191"/>
    </row>
    <row r="293" ht="24.75" customHeight="1">
      <c r="A293" s="191"/>
    </row>
    <row r="294" ht="24.75" customHeight="1">
      <c r="A294" s="191"/>
    </row>
    <row r="295" ht="24.75" customHeight="1">
      <c r="A295" s="191"/>
    </row>
    <row r="296" ht="24.75" customHeight="1">
      <c r="A296" s="191"/>
    </row>
    <row r="297" ht="24.75" customHeight="1">
      <c r="A297" s="191"/>
    </row>
    <row r="298" ht="24.75" customHeight="1">
      <c r="A298" s="191"/>
    </row>
    <row r="299" ht="24.75" customHeight="1">
      <c r="A299" s="191"/>
    </row>
    <row r="300" ht="24.75" customHeight="1">
      <c r="A300" s="191"/>
    </row>
    <row r="301" ht="24.75" customHeight="1">
      <c r="A301" s="191"/>
    </row>
    <row r="302" ht="24.75" customHeight="1">
      <c r="A302" s="191"/>
    </row>
    <row r="303" ht="24.75" customHeight="1">
      <c r="A303" s="191"/>
    </row>
    <row r="304" ht="24.75" customHeight="1">
      <c r="A304" s="191"/>
    </row>
    <row r="305" ht="24.75" customHeight="1">
      <c r="A305" s="191"/>
    </row>
    <row r="306" ht="24.75" customHeight="1">
      <c r="A306" s="191"/>
    </row>
    <row r="307" ht="24.75" customHeight="1">
      <c r="A307" s="191"/>
    </row>
    <row r="308" ht="24.75" customHeight="1">
      <c r="A308" s="191"/>
    </row>
    <row r="309" ht="24.75" customHeight="1">
      <c r="A309" s="191"/>
    </row>
    <row r="310" ht="24.75" customHeight="1">
      <c r="A310" s="191"/>
    </row>
    <row r="311" ht="24.75" customHeight="1">
      <c r="A311" s="191"/>
    </row>
    <row r="312" ht="24.75" customHeight="1">
      <c r="A312" s="191"/>
    </row>
    <row r="313" ht="24.75" customHeight="1">
      <c r="A313" s="191"/>
    </row>
    <row r="314" ht="24.75" customHeight="1">
      <c r="A314" s="191"/>
    </row>
    <row r="315" ht="24.75" customHeight="1">
      <c r="A315" s="191"/>
    </row>
    <row r="316" ht="24.75" customHeight="1">
      <c r="A316" s="191"/>
    </row>
    <row r="317" ht="24.75" customHeight="1">
      <c r="A317" s="191"/>
    </row>
    <row r="318" ht="24.75" customHeight="1">
      <c r="A318" s="191"/>
    </row>
    <row r="319" ht="24.75" customHeight="1">
      <c r="A319" s="191"/>
    </row>
    <row r="320" ht="24.75" customHeight="1">
      <c r="A320" s="191"/>
    </row>
    <row r="321" ht="24.75" customHeight="1">
      <c r="A321" s="191"/>
    </row>
    <row r="322" ht="24.75" customHeight="1">
      <c r="A322" s="191"/>
    </row>
    <row r="323" ht="24.75" customHeight="1">
      <c r="A323" s="191"/>
    </row>
    <row r="324" ht="24.75" customHeight="1">
      <c r="A324" s="191"/>
    </row>
    <row r="325" ht="24.75" customHeight="1">
      <c r="A325" s="191"/>
    </row>
    <row r="326" ht="24.75" customHeight="1">
      <c r="A326" s="191"/>
    </row>
    <row r="327" ht="24.75" customHeight="1">
      <c r="A327" s="191"/>
    </row>
    <row r="328" ht="24.75" customHeight="1">
      <c r="A328" s="191"/>
    </row>
    <row r="329" ht="24.75" customHeight="1">
      <c r="A329" s="191"/>
    </row>
    <row r="330" ht="24.75" customHeight="1">
      <c r="A330" s="191"/>
    </row>
    <row r="331" ht="24.75" customHeight="1">
      <c r="A331" s="191"/>
    </row>
    <row r="332" ht="24.75" customHeight="1">
      <c r="A332" s="191"/>
    </row>
    <row r="333" ht="24.75" customHeight="1">
      <c r="A333" s="191"/>
    </row>
    <row r="334" ht="24.75" customHeight="1">
      <c r="A334" s="191"/>
    </row>
    <row r="335" ht="24.75" customHeight="1">
      <c r="A335" s="191"/>
    </row>
    <row r="336" ht="24.75" customHeight="1">
      <c r="A336" s="191"/>
    </row>
    <row r="337" ht="24.75" customHeight="1">
      <c r="A337" s="191"/>
    </row>
    <row r="338" ht="24.75" customHeight="1">
      <c r="A338" s="191"/>
    </row>
    <row r="339" ht="24.75" customHeight="1">
      <c r="A339" s="191"/>
    </row>
    <row r="340" ht="24.75" customHeight="1">
      <c r="A340" s="191"/>
    </row>
    <row r="341" ht="24.75" customHeight="1">
      <c r="A341" s="191"/>
    </row>
    <row r="342" ht="24.75" customHeight="1">
      <c r="A342" s="191"/>
    </row>
    <row r="343" ht="24.75" customHeight="1">
      <c r="A343" s="191"/>
    </row>
    <row r="344" ht="24.75" customHeight="1">
      <c r="A344" s="191"/>
    </row>
    <row r="345" ht="24.75" customHeight="1">
      <c r="A345" s="191"/>
    </row>
    <row r="346" ht="24.75" customHeight="1">
      <c r="A346" s="191"/>
    </row>
    <row r="347" ht="24.75" customHeight="1">
      <c r="A347" s="191"/>
    </row>
    <row r="348" ht="24.75" customHeight="1">
      <c r="A348" s="191"/>
    </row>
    <row r="349" ht="24.75" customHeight="1">
      <c r="A349" s="191"/>
    </row>
    <row r="350" ht="24.75" customHeight="1">
      <c r="A350" s="191"/>
    </row>
    <row r="351" ht="24.75" customHeight="1">
      <c r="A351" s="191"/>
    </row>
    <row r="352" ht="24.75" customHeight="1">
      <c r="A352" s="191"/>
    </row>
    <row r="353" ht="24.75" customHeight="1">
      <c r="A353" s="191"/>
    </row>
    <row r="354" ht="24.75" customHeight="1">
      <c r="A354" s="191"/>
    </row>
    <row r="355" ht="24.75" customHeight="1">
      <c r="A355" s="191"/>
    </row>
    <row r="356" ht="24.75" customHeight="1">
      <c r="A356" s="191"/>
    </row>
    <row r="357" ht="24.75" customHeight="1">
      <c r="A357" s="191"/>
    </row>
    <row r="358" ht="24.75" customHeight="1">
      <c r="A358" s="191"/>
    </row>
    <row r="359" ht="24.75" customHeight="1">
      <c r="A359" s="191"/>
    </row>
    <row r="360" ht="24.75" customHeight="1">
      <c r="A360" s="191"/>
    </row>
    <row r="361" ht="24.75" customHeight="1">
      <c r="A361" s="191"/>
    </row>
    <row r="362" ht="24.75" customHeight="1">
      <c r="A362" s="191"/>
    </row>
    <row r="363" ht="24.75" customHeight="1">
      <c r="A363" s="191"/>
    </row>
    <row r="364" ht="24.75" customHeight="1">
      <c r="A364" s="191"/>
    </row>
    <row r="365" ht="24.75" customHeight="1">
      <c r="A365" s="191"/>
    </row>
    <row r="366" ht="24.75" customHeight="1">
      <c r="A366" s="191"/>
    </row>
    <row r="367" ht="24.75" customHeight="1">
      <c r="A367" s="191"/>
    </row>
    <row r="368" ht="24.75" customHeight="1">
      <c r="A368" s="191"/>
    </row>
    <row r="369" ht="24.75" customHeight="1">
      <c r="A369" s="191"/>
    </row>
    <row r="370" ht="24.75" customHeight="1">
      <c r="A370" s="191"/>
    </row>
    <row r="371" ht="24.75" customHeight="1">
      <c r="A371" s="191"/>
    </row>
    <row r="372" ht="24.75" customHeight="1">
      <c r="A372" s="191"/>
    </row>
    <row r="373" ht="24.75" customHeight="1">
      <c r="A373" s="191"/>
    </row>
    <row r="374" ht="24.75" customHeight="1">
      <c r="A374" s="191"/>
    </row>
    <row r="375" ht="24.75" customHeight="1">
      <c r="A375" s="191"/>
    </row>
    <row r="376" ht="24.75" customHeight="1">
      <c r="A376" s="191"/>
    </row>
    <row r="377" ht="24.75" customHeight="1">
      <c r="A377" s="191"/>
    </row>
    <row r="378" ht="24.75" customHeight="1">
      <c r="A378" s="191"/>
    </row>
    <row r="379" ht="24.75" customHeight="1">
      <c r="A379" s="191"/>
    </row>
    <row r="380" ht="24.75" customHeight="1">
      <c r="A380" s="191"/>
    </row>
    <row r="381" ht="24.75" customHeight="1">
      <c r="A381" s="191"/>
    </row>
    <row r="382" ht="24.75" customHeight="1">
      <c r="A382" s="191"/>
    </row>
    <row r="383" ht="24.75" customHeight="1">
      <c r="A383" s="191"/>
    </row>
    <row r="384" ht="24.75" customHeight="1">
      <c r="A384" s="191"/>
    </row>
    <row r="385" ht="24.75" customHeight="1">
      <c r="A385" s="191"/>
    </row>
    <row r="386" ht="24.75" customHeight="1">
      <c r="A386" s="191"/>
    </row>
    <row r="387" ht="24.75" customHeight="1">
      <c r="A387" s="191"/>
    </row>
    <row r="388" ht="24.75" customHeight="1">
      <c r="A388" s="191"/>
    </row>
    <row r="389" ht="24.75" customHeight="1">
      <c r="A389" s="191"/>
    </row>
    <row r="390" ht="24.75" customHeight="1">
      <c r="A390" s="191"/>
    </row>
    <row r="391" ht="24.75" customHeight="1">
      <c r="A391" s="191"/>
    </row>
    <row r="392" ht="24.75" customHeight="1">
      <c r="A392" s="191"/>
    </row>
    <row r="393" ht="24.75" customHeight="1">
      <c r="A393" s="191"/>
    </row>
    <row r="394" ht="24.75" customHeight="1">
      <c r="A394" s="191"/>
    </row>
    <row r="395" ht="24.75" customHeight="1">
      <c r="A395" s="191"/>
    </row>
    <row r="396" ht="24.75" customHeight="1">
      <c r="A396" s="191"/>
    </row>
    <row r="397" ht="24.75" customHeight="1">
      <c r="A397" s="191"/>
    </row>
    <row r="398" ht="24.75" customHeight="1">
      <c r="A398" s="191"/>
    </row>
    <row r="399" ht="24.75" customHeight="1">
      <c r="A399" s="191"/>
    </row>
    <row r="400" ht="24.75" customHeight="1">
      <c r="A400" s="191"/>
    </row>
    <row r="401" ht="24.75" customHeight="1">
      <c r="A401" s="191"/>
    </row>
    <row r="402" ht="24.75" customHeight="1">
      <c r="A402" s="191"/>
    </row>
    <row r="403" ht="24.75" customHeight="1">
      <c r="A403" s="191"/>
    </row>
    <row r="404" ht="24.75" customHeight="1">
      <c r="A404" s="191"/>
    </row>
  </sheetData>
  <sheetProtection/>
  <printOptions/>
  <pageMargins left="0.3937007874015748" right="0.1968503937007874" top="0.5905511811023623" bottom="0" header="0.11811023622047245" footer="0.11811023622047245"/>
  <pageSetup horizontalDpi="600" verticalDpi="600" orientation="portrait" paperSize="9" scale="60" r:id="rId1"/>
  <rowBreaks count="2" manualBreakCount="2">
    <brk id="58" max="255" man="1"/>
    <brk id="114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4"/>
  <sheetViews>
    <sheetView zoomScaleSheetLayoutView="100" workbookViewId="0" topLeftCell="A31">
      <selection activeCell="N52" sqref="N52"/>
    </sheetView>
  </sheetViews>
  <sheetFormatPr defaultColWidth="9.140625" defaultRowHeight="25.5" customHeight="1"/>
  <cols>
    <col min="1" max="1" width="4.00390625" style="200" customWidth="1"/>
    <col min="2" max="2" width="24.8515625" style="200" customWidth="1"/>
    <col min="3" max="3" width="11.421875" style="200" hidden="1" customWidth="1"/>
    <col min="4" max="4" width="13.140625" style="200" hidden="1" customWidth="1"/>
    <col min="5" max="5" width="8.7109375" style="200" bestFit="1" customWidth="1"/>
    <col min="6" max="6" width="8.140625" style="200" bestFit="1" customWidth="1"/>
    <col min="7" max="7" width="8.28125" style="200" bestFit="1" customWidth="1"/>
    <col min="8" max="8" width="8.140625" style="200" bestFit="1" customWidth="1"/>
    <col min="9" max="9" width="12.57421875" style="200" bestFit="1" customWidth="1"/>
    <col min="10" max="10" width="13.00390625" style="200" bestFit="1" customWidth="1"/>
    <col min="11" max="12" width="12.57421875" style="200" bestFit="1" customWidth="1"/>
    <col min="13" max="13" width="11.421875" style="200" customWidth="1"/>
    <col min="14" max="14" width="11.7109375" style="200" bestFit="1" customWidth="1"/>
    <col min="15" max="15" width="1.421875" style="200" customWidth="1"/>
    <col min="16" max="16384" width="9.140625" style="200" customWidth="1"/>
  </cols>
  <sheetData>
    <row r="1" spans="1:14" s="179" customFormat="1" ht="24.75" customHeight="1">
      <c r="A1" s="178" t="s">
        <v>427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s="179" customFormat="1" ht="24.7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ht="24.75" customHeight="1">
      <c r="A3" s="229" t="s">
        <v>1267</v>
      </c>
    </row>
    <row r="4" ht="24.75" customHeight="1">
      <c r="A4" s="229" t="s">
        <v>1268</v>
      </c>
    </row>
    <row r="5" spans="1:14" ht="24.75" customHeight="1">
      <c r="A5" s="230"/>
      <c r="B5" s="231" t="s">
        <v>1269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</row>
    <row r="6" spans="1:14" s="233" customFormat="1" ht="24" customHeight="1">
      <c r="A6" s="232" t="s">
        <v>221</v>
      </c>
      <c r="B6" s="232" t="s">
        <v>281</v>
      </c>
      <c r="C6" s="232" t="s">
        <v>239</v>
      </c>
      <c r="D6" s="232" t="s">
        <v>218</v>
      </c>
      <c r="E6" s="618" t="s">
        <v>222</v>
      </c>
      <c r="F6" s="618"/>
      <c r="G6" s="618" t="s">
        <v>282</v>
      </c>
      <c r="H6" s="618"/>
      <c r="I6" s="618" t="s">
        <v>541</v>
      </c>
      <c r="J6" s="426" t="s">
        <v>1171</v>
      </c>
      <c r="K6" s="618" t="s">
        <v>126</v>
      </c>
      <c r="L6" s="618"/>
      <c r="M6" s="616" t="s">
        <v>224</v>
      </c>
      <c r="N6" s="616"/>
    </row>
    <row r="7" spans="1:14" s="233" customFormat="1" ht="24" customHeight="1">
      <c r="A7" s="232" t="s">
        <v>283</v>
      </c>
      <c r="B7" s="232"/>
      <c r="C7" s="232"/>
      <c r="D7" s="232"/>
      <c r="E7" s="187"/>
      <c r="F7" s="187"/>
      <c r="G7" s="187"/>
      <c r="H7" s="187"/>
      <c r="I7" s="187"/>
      <c r="J7" s="187" t="s">
        <v>1172</v>
      </c>
      <c r="K7" s="187"/>
      <c r="L7" s="187"/>
      <c r="M7" s="185"/>
      <c r="N7" s="185"/>
    </row>
    <row r="8" spans="1:14" s="233" customFormat="1" ht="24" customHeight="1">
      <c r="A8" s="232"/>
      <c r="B8" s="232"/>
      <c r="C8" s="232"/>
      <c r="D8" s="232"/>
      <c r="E8" s="186"/>
      <c r="F8" s="186"/>
      <c r="G8" s="186"/>
      <c r="H8" s="186"/>
      <c r="I8" s="186"/>
      <c r="J8" s="186" t="s">
        <v>1173</v>
      </c>
      <c r="K8" s="186"/>
      <c r="L8" s="186"/>
      <c r="M8" s="185"/>
      <c r="N8" s="185"/>
    </row>
    <row r="9" spans="1:14" s="233" customFormat="1" ht="24" customHeight="1">
      <c r="A9" s="232"/>
      <c r="C9" s="232" t="s">
        <v>284</v>
      </c>
      <c r="D9" s="232" t="s">
        <v>219</v>
      </c>
      <c r="E9" s="620" t="s">
        <v>225</v>
      </c>
      <c r="F9" s="620"/>
      <c r="G9" s="620" t="s">
        <v>285</v>
      </c>
      <c r="H9" s="620"/>
      <c r="I9" s="620" t="s">
        <v>226</v>
      </c>
      <c r="J9" s="620"/>
      <c r="K9" s="620" t="s">
        <v>226</v>
      </c>
      <c r="L9" s="620"/>
      <c r="M9" s="621" t="s">
        <v>226</v>
      </c>
      <c r="N9" s="621"/>
    </row>
    <row r="10" spans="1:14" s="179" customFormat="1" ht="24" customHeight="1">
      <c r="A10" s="182"/>
      <c r="B10" s="182"/>
      <c r="C10" s="186"/>
      <c r="D10" s="186"/>
      <c r="E10" s="188" t="s">
        <v>898</v>
      </c>
      <c r="F10" s="188" t="s">
        <v>747</v>
      </c>
      <c r="G10" s="188" t="s">
        <v>898</v>
      </c>
      <c r="H10" s="188" t="s">
        <v>747</v>
      </c>
      <c r="I10" s="188" t="s">
        <v>898</v>
      </c>
      <c r="J10" s="188" t="s">
        <v>747</v>
      </c>
      <c r="K10" s="188" t="s">
        <v>898</v>
      </c>
      <c r="L10" s="188" t="s">
        <v>747</v>
      </c>
      <c r="M10" s="188" t="s">
        <v>898</v>
      </c>
      <c r="N10" s="188" t="s">
        <v>747</v>
      </c>
    </row>
    <row r="11" spans="1:14" ht="24" customHeight="1">
      <c r="A11" s="223">
        <v>1</v>
      </c>
      <c r="B11" s="198" t="s">
        <v>1318</v>
      </c>
      <c r="C11" s="199" t="s">
        <v>345</v>
      </c>
      <c r="D11" s="234"/>
      <c r="E11" s="192">
        <v>2155959</v>
      </c>
      <c r="F11" s="192">
        <v>2155959</v>
      </c>
      <c r="G11" s="643">
        <v>0.49</v>
      </c>
      <c r="H11" s="643">
        <v>0.49</v>
      </c>
      <c r="I11" s="643">
        <v>21819138.54</v>
      </c>
      <c r="J11" s="643">
        <v>21819138.54</v>
      </c>
      <c r="K11" s="643">
        <v>21819138.54</v>
      </c>
      <c r="L11" s="643">
        <v>21819138.54</v>
      </c>
      <c r="M11" s="643">
        <v>0</v>
      </c>
      <c r="N11" s="643">
        <v>594441</v>
      </c>
    </row>
    <row r="12" spans="1:14" ht="24" customHeight="1">
      <c r="A12" s="223">
        <v>2</v>
      </c>
      <c r="B12" s="198" t="s">
        <v>340</v>
      </c>
      <c r="C12" s="236" t="s">
        <v>341</v>
      </c>
      <c r="D12" s="234"/>
      <c r="E12" s="192">
        <v>3000000</v>
      </c>
      <c r="F12" s="192">
        <v>3000000</v>
      </c>
      <c r="G12" s="643">
        <v>0.3</v>
      </c>
      <c r="H12" s="643">
        <v>0.3</v>
      </c>
      <c r="I12" s="643">
        <v>16727150</v>
      </c>
      <c r="J12" s="643">
        <v>16727150</v>
      </c>
      <c r="K12" s="643">
        <v>16727150</v>
      </c>
      <c r="L12" s="643">
        <v>16727150</v>
      </c>
      <c r="M12" s="643">
        <v>1824780</v>
      </c>
      <c r="N12" s="643">
        <v>1368585</v>
      </c>
    </row>
    <row r="13" spans="1:14" ht="24" customHeight="1">
      <c r="A13" s="223">
        <v>3</v>
      </c>
      <c r="B13" s="198" t="s">
        <v>1270</v>
      </c>
      <c r="C13" s="236" t="s">
        <v>349</v>
      </c>
      <c r="D13" s="234"/>
      <c r="E13" s="192">
        <v>300000</v>
      </c>
      <c r="F13" s="314">
        <v>0</v>
      </c>
      <c r="G13" s="643">
        <v>0.98</v>
      </c>
      <c r="H13" s="643">
        <v>0</v>
      </c>
      <c r="I13" s="643">
        <f>8070261-432657</f>
        <v>7637604</v>
      </c>
      <c r="J13" s="643">
        <v>0</v>
      </c>
      <c r="K13" s="643">
        <v>8070260.999999999</v>
      </c>
      <c r="L13" s="643">
        <v>0</v>
      </c>
      <c r="M13" s="643">
        <v>0</v>
      </c>
      <c r="N13" s="643">
        <v>0</v>
      </c>
    </row>
    <row r="14" spans="1:14" ht="24" customHeight="1">
      <c r="A14" s="223">
        <v>4</v>
      </c>
      <c r="B14" s="198" t="s">
        <v>420</v>
      </c>
      <c r="C14" s="199"/>
      <c r="D14" s="234"/>
      <c r="E14" s="192">
        <v>467500</v>
      </c>
      <c r="F14" s="192">
        <v>467500</v>
      </c>
      <c r="G14" s="643">
        <v>0.82</v>
      </c>
      <c r="H14" s="643">
        <v>0.82</v>
      </c>
      <c r="I14" s="643">
        <v>3010800</v>
      </c>
      <c r="J14" s="643">
        <v>3010800</v>
      </c>
      <c r="K14" s="643">
        <v>3010800</v>
      </c>
      <c r="L14" s="643">
        <v>3010800</v>
      </c>
      <c r="M14" s="313">
        <v>384300</v>
      </c>
      <c r="N14" s="643">
        <v>1152900</v>
      </c>
    </row>
    <row r="15" spans="1:14" ht="24" customHeight="1">
      <c r="A15" s="223">
        <v>5</v>
      </c>
      <c r="B15" s="198" t="s">
        <v>1319</v>
      </c>
      <c r="C15" s="199" t="s">
        <v>339</v>
      </c>
      <c r="D15" s="234"/>
      <c r="E15" s="192">
        <v>60000</v>
      </c>
      <c r="F15" s="192">
        <v>60000</v>
      </c>
      <c r="G15" s="643">
        <v>0.5</v>
      </c>
      <c r="H15" s="643">
        <v>0.5</v>
      </c>
      <c r="I15" s="643">
        <v>265320</v>
      </c>
      <c r="J15" s="643">
        <v>265320</v>
      </c>
      <c r="K15" s="643">
        <v>265320</v>
      </c>
      <c r="L15" s="643">
        <v>265320</v>
      </c>
      <c r="M15" s="643">
        <v>30000</v>
      </c>
      <c r="N15" s="643">
        <v>60000</v>
      </c>
    </row>
    <row r="16" spans="1:14" ht="24" customHeight="1">
      <c r="A16" s="223">
        <v>6</v>
      </c>
      <c r="B16" s="198" t="s">
        <v>342</v>
      </c>
      <c r="C16" s="199" t="s">
        <v>343</v>
      </c>
      <c r="D16" s="234"/>
      <c r="E16" s="192">
        <v>75000</v>
      </c>
      <c r="F16" s="192">
        <v>75000</v>
      </c>
      <c r="G16" s="643">
        <v>0.03</v>
      </c>
      <c r="H16" s="643">
        <v>0.03</v>
      </c>
      <c r="I16" s="650">
        <v>32940</v>
      </c>
      <c r="J16" s="650">
        <v>32940</v>
      </c>
      <c r="K16" s="650">
        <v>32940</v>
      </c>
      <c r="L16" s="650">
        <v>32940</v>
      </c>
      <c r="M16" s="650">
        <v>15336</v>
      </c>
      <c r="N16" s="650">
        <v>10584</v>
      </c>
    </row>
    <row r="17" spans="1:14" ht="24" customHeight="1">
      <c r="A17" s="223"/>
      <c r="B17" s="237" t="s">
        <v>324</v>
      </c>
      <c r="C17" s="199"/>
      <c r="I17" s="224">
        <f aca="true" t="shared" si="0" ref="I17:N17">SUM(I11:I16)</f>
        <v>49492952.54</v>
      </c>
      <c r="J17" s="224">
        <f t="shared" si="0"/>
        <v>41855348.54</v>
      </c>
      <c r="K17" s="224">
        <f t="shared" si="0"/>
        <v>49925609.54</v>
      </c>
      <c r="L17" s="224">
        <f t="shared" si="0"/>
        <v>41855348.54</v>
      </c>
      <c r="M17" s="224">
        <f t="shared" si="0"/>
        <v>2254416</v>
      </c>
      <c r="N17" s="224">
        <f t="shared" si="0"/>
        <v>3186510</v>
      </c>
    </row>
    <row r="18" spans="1:14" ht="24" customHeight="1">
      <c r="A18" s="223"/>
      <c r="B18" s="238" t="s">
        <v>146</v>
      </c>
      <c r="I18" s="313">
        <f>76784264.26+432657</f>
        <v>77216921.26</v>
      </c>
      <c r="J18" s="239">
        <v>70135000.96</v>
      </c>
      <c r="K18" s="313">
        <v>76784264.26</v>
      </c>
      <c r="L18" s="239">
        <v>70135000.96</v>
      </c>
      <c r="M18" s="224">
        <v>0</v>
      </c>
      <c r="N18" s="224">
        <v>0</v>
      </c>
    </row>
    <row r="19" spans="1:14" ht="24" customHeight="1" thickBot="1">
      <c r="A19" s="223"/>
      <c r="B19" s="238" t="s">
        <v>346</v>
      </c>
      <c r="I19" s="240">
        <f aca="true" t="shared" si="1" ref="I19:N19">SUM(I17:I18)</f>
        <v>126709873.80000001</v>
      </c>
      <c r="J19" s="240">
        <f t="shared" si="1"/>
        <v>111990349.5</v>
      </c>
      <c r="K19" s="240">
        <f t="shared" si="1"/>
        <v>126709873.80000001</v>
      </c>
      <c r="L19" s="240">
        <f t="shared" si="1"/>
        <v>111990349.5</v>
      </c>
      <c r="M19" s="240">
        <f t="shared" si="1"/>
        <v>2254416</v>
      </c>
      <c r="N19" s="240">
        <f t="shared" si="1"/>
        <v>3186510</v>
      </c>
    </row>
    <row r="20" ht="24" customHeight="1" thickTop="1">
      <c r="A20" s="229" t="s">
        <v>1271</v>
      </c>
    </row>
    <row r="21" spans="1:2" ht="24" customHeight="1">
      <c r="A21" s="229"/>
      <c r="B21" s="238" t="s">
        <v>1269</v>
      </c>
    </row>
    <row r="22" spans="1:14" ht="24" customHeight="1">
      <c r="A22" s="223">
        <v>7</v>
      </c>
      <c r="B22" s="218" t="s">
        <v>494</v>
      </c>
      <c r="C22" s="219" t="s">
        <v>190</v>
      </c>
      <c r="E22" s="196"/>
      <c r="F22" s="196"/>
      <c r="G22" s="196"/>
      <c r="H22" s="196"/>
      <c r="I22" s="224"/>
      <c r="J22" s="224"/>
      <c r="K22" s="224"/>
      <c r="L22" s="224"/>
      <c r="M22" s="659"/>
      <c r="N22" s="659"/>
    </row>
    <row r="23" spans="1:14" ht="24" customHeight="1">
      <c r="A23" s="223"/>
      <c r="B23" s="218" t="s">
        <v>307</v>
      </c>
      <c r="C23" s="200" t="s">
        <v>191</v>
      </c>
      <c r="E23" s="192">
        <v>280000</v>
      </c>
      <c r="F23" s="192">
        <v>280000</v>
      </c>
      <c r="G23" s="643">
        <v>6.45</v>
      </c>
      <c r="H23" s="643">
        <v>6.45</v>
      </c>
      <c r="I23" s="643">
        <v>18052630</v>
      </c>
      <c r="J23" s="643">
        <v>18052630</v>
      </c>
      <c r="K23" s="643">
        <v>18052630</v>
      </c>
      <c r="L23" s="643">
        <v>18052630</v>
      </c>
      <c r="M23" s="660">
        <v>1480315.66</v>
      </c>
      <c r="N23" s="660">
        <v>1299789.36</v>
      </c>
    </row>
    <row r="24" spans="1:14" ht="24" customHeight="1">
      <c r="A24" s="223">
        <v>8</v>
      </c>
      <c r="B24" s="218" t="s">
        <v>491</v>
      </c>
      <c r="C24" s="199" t="s">
        <v>185</v>
      </c>
      <c r="D24" s="217"/>
      <c r="E24" s="192">
        <v>35000</v>
      </c>
      <c r="F24" s="192">
        <v>35000</v>
      </c>
      <c r="G24" s="643">
        <v>4</v>
      </c>
      <c r="H24" s="643">
        <v>4</v>
      </c>
      <c r="I24" s="643">
        <v>8400000</v>
      </c>
      <c r="J24" s="643">
        <v>8400000</v>
      </c>
      <c r="K24" s="643">
        <v>8400000</v>
      </c>
      <c r="L24" s="643">
        <v>8400000</v>
      </c>
      <c r="M24" s="660">
        <v>3276560</v>
      </c>
      <c r="N24" s="660">
        <v>2674840</v>
      </c>
    </row>
    <row r="25" spans="1:4" ht="24" customHeight="1">
      <c r="A25" s="223">
        <v>9</v>
      </c>
      <c r="B25" s="218" t="s">
        <v>1272</v>
      </c>
      <c r="C25" s="199" t="s">
        <v>1273</v>
      </c>
      <c r="D25" s="217"/>
    </row>
    <row r="26" spans="1:14" ht="24" customHeight="1">
      <c r="A26" s="223"/>
      <c r="B26" s="218" t="s">
        <v>779</v>
      </c>
      <c r="C26" s="199"/>
      <c r="D26" s="217"/>
      <c r="E26" s="192">
        <v>300000</v>
      </c>
      <c r="F26" s="645">
        <v>0</v>
      </c>
      <c r="G26" s="643">
        <v>2.5</v>
      </c>
      <c r="H26" s="643">
        <v>0</v>
      </c>
      <c r="I26" s="643">
        <v>7500000</v>
      </c>
      <c r="J26" s="643">
        <v>0</v>
      </c>
      <c r="K26" s="643">
        <v>7500000</v>
      </c>
      <c r="L26" s="643">
        <v>0</v>
      </c>
      <c r="M26" s="660">
        <v>0</v>
      </c>
      <c r="N26" s="660">
        <v>0</v>
      </c>
    </row>
    <row r="27" spans="1:14" ht="24" customHeight="1">
      <c r="A27" s="223">
        <v>10</v>
      </c>
      <c r="B27" s="218" t="s">
        <v>1320</v>
      </c>
      <c r="C27" s="219" t="s">
        <v>188</v>
      </c>
      <c r="E27" s="192"/>
      <c r="F27" s="192"/>
      <c r="G27" s="643"/>
      <c r="H27" s="643"/>
      <c r="I27" s="643"/>
      <c r="J27" s="643"/>
      <c r="K27" s="643"/>
      <c r="L27" s="643"/>
      <c r="M27" s="660"/>
      <c r="N27" s="660"/>
    </row>
    <row r="28" spans="1:14" ht="24" customHeight="1">
      <c r="A28" s="223"/>
      <c r="B28" s="218" t="s">
        <v>1321</v>
      </c>
      <c r="C28" s="199" t="s">
        <v>189</v>
      </c>
      <c r="E28" s="192">
        <v>3549400</v>
      </c>
      <c r="F28" s="192">
        <v>3549400</v>
      </c>
      <c r="G28" s="314">
        <v>0.18</v>
      </c>
      <c r="H28" s="314">
        <v>0.18</v>
      </c>
      <c r="I28" s="645">
        <v>6250000</v>
      </c>
      <c r="J28" s="645">
        <v>6250000</v>
      </c>
      <c r="K28" s="645">
        <v>6250000</v>
      </c>
      <c r="L28" s="645">
        <v>6250000</v>
      </c>
      <c r="M28" s="645">
        <v>0</v>
      </c>
      <c r="N28" s="645">
        <v>0</v>
      </c>
    </row>
    <row r="29" spans="1:14" ht="24" customHeight="1">
      <c r="A29" s="223">
        <v>11</v>
      </c>
      <c r="B29" s="218" t="s">
        <v>1322</v>
      </c>
      <c r="C29" s="219" t="s">
        <v>156</v>
      </c>
      <c r="E29" s="192"/>
      <c r="F29" s="192"/>
      <c r="G29" s="643"/>
      <c r="H29" s="643"/>
      <c r="I29" s="643"/>
      <c r="J29" s="643"/>
      <c r="K29" s="643"/>
      <c r="L29" s="643"/>
      <c r="M29" s="660"/>
      <c r="N29" s="660"/>
    </row>
    <row r="30" spans="1:14" ht="24" customHeight="1">
      <c r="A30" s="223"/>
      <c r="B30" s="218" t="s">
        <v>779</v>
      </c>
      <c r="C30" s="219" t="s">
        <v>161</v>
      </c>
      <c r="E30" s="192">
        <v>130000</v>
      </c>
      <c r="F30" s="192">
        <v>130000</v>
      </c>
      <c r="G30" s="643">
        <v>3.85</v>
      </c>
      <c r="H30" s="643">
        <v>3.85</v>
      </c>
      <c r="I30" s="643">
        <v>5000000</v>
      </c>
      <c r="J30" s="643">
        <v>5000000</v>
      </c>
      <c r="K30" s="643">
        <v>5000000</v>
      </c>
      <c r="L30" s="643">
        <v>5000000</v>
      </c>
      <c r="M30" s="660">
        <v>0</v>
      </c>
      <c r="N30" s="660">
        <v>0</v>
      </c>
    </row>
    <row r="31" spans="1:14" ht="24" customHeight="1">
      <c r="A31" s="223">
        <v>12</v>
      </c>
      <c r="B31" s="218" t="s">
        <v>495</v>
      </c>
      <c r="C31" s="199" t="s">
        <v>421</v>
      </c>
      <c r="E31" s="192">
        <v>82500</v>
      </c>
      <c r="F31" s="192">
        <v>82500</v>
      </c>
      <c r="G31" s="643">
        <v>1.52</v>
      </c>
      <c r="H31" s="643">
        <v>1.52</v>
      </c>
      <c r="I31" s="643">
        <v>5000000</v>
      </c>
      <c r="J31" s="643">
        <v>5000000</v>
      </c>
      <c r="K31" s="643">
        <v>5000000</v>
      </c>
      <c r="L31" s="643">
        <v>5000000</v>
      </c>
      <c r="M31" s="645">
        <v>0</v>
      </c>
      <c r="N31" s="645">
        <v>0</v>
      </c>
    </row>
    <row r="32" spans="1:14" ht="24" customHeight="1">
      <c r="A32" s="223">
        <v>13</v>
      </c>
      <c r="B32" s="198" t="s">
        <v>488</v>
      </c>
      <c r="C32" s="219" t="s">
        <v>164</v>
      </c>
      <c r="E32" s="192">
        <v>780000</v>
      </c>
      <c r="F32" s="192">
        <v>780000</v>
      </c>
      <c r="G32" s="643">
        <v>0.58</v>
      </c>
      <c r="H32" s="643">
        <v>0.58</v>
      </c>
      <c r="I32" s="643">
        <v>4500000</v>
      </c>
      <c r="J32" s="643">
        <v>4500000</v>
      </c>
      <c r="K32" s="643">
        <v>4500000</v>
      </c>
      <c r="L32" s="643">
        <v>4500000</v>
      </c>
      <c r="M32" s="660">
        <v>588970.59</v>
      </c>
      <c r="N32" s="660">
        <v>3970588.24</v>
      </c>
    </row>
    <row r="33" spans="1:14" ht="24" customHeight="1">
      <c r="A33" s="223">
        <v>14</v>
      </c>
      <c r="B33" s="218" t="s">
        <v>148</v>
      </c>
      <c r="C33" s="199" t="s">
        <v>183</v>
      </c>
      <c r="D33" s="217"/>
      <c r="E33" s="192">
        <v>200539</v>
      </c>
      <c r="F33" s="192">
        <v>200539</v>
      </c>
      <c r="G33" s="661">
        <v>0.002</v>
      </c>
      <c r="H33" s="661">
        <v>0.002</v>
      </c>
      <c r="I33" s="643">
        <v>4100000</v>
      </c>
      <c r="J33" s="643">
        <v>4100000</v>
      </c>
      <c r="K33" s="643">
        <v>4100000</v>
      </c>
      <c r="L33" s="643">
        <v>4100000</v>
      </c>
      <c r="M33" s="660">
        <v>2000</v>
      </c>
      <c r="N33" s="660">
        <v>2000</v>
      </c>
    </row>
    <row r="34" spans="1:14" ht="24" customHeight="1">
      <c r="A34" s="223">
        <v>15</v>
      </c>
      <c r="B34" s="218" t="s">
        <v>490</v>
      </c>
      <c r="C34" s="199" t="s">
        <v>184</v>
      </c>
      <c r="D34" s="217"/>
      <c r="E34" s="192">
        <v>450000</v>
      </c>
      <c r="F34" s="192">
        <v>450000</v>
      </c>
      <c r="G34" s="643">
        <v>0.44</v>
      </c>
      <c r="H34" s="643">
        <v>0.44</v>
      </c>
      <c r="I34" s="643">
        <v>3000000</v>
      </c>
      <c r="J34" s="643">
        <v>3000000</v>
      </c>
      <c r="K34" s="643">
        <v>3000000</v>
      </c>
      <c r="L34" s="643">
        <v>3000000</v>
      </c>
      <c r="M34" s="660">
        <v>0</v>
      </c>
      <c r="N34" s="660">
        <v>0</v>
      </c>
    </row>
    <row r="35" spans="1:14" ht="24" customHeight="1">
      <c r="A35" s="223">
        <v>16</v>
      </c>
      <c r="B35" s="198" t="s">
        <v>1323</v>
      </c>
      <c r="C35" s="219" t="s">
        <v>337</v>
      </c>
      <c r="E35" s="192">
        <v>450000</v>
      </c>
      <c r="F35" s="192">
        <v>450000</v>
      </c>
      <c r="G35" s="643">
        <v>0.67</v>
      </c>
      <c r="H35" s="643">
        <v>0.67</v>
      </c>
      <c r="I35" s="643">
        <v>3000000</v>
      </c>
      <c r="J35" s="643">
        <v>3000000</v>
      </c>
      <c r="K35" s="643">
        <v>3000000</v>
      </c>
      <c r="L35" s="643">
        <v>3000000</v>
      </c>
      <c r="M35" s="367">
        <v>600000</v>
      </c>
      <c r="N35" s="367">
        <f>1200000+600000</f>
        <v>1800000</v>
      </c>
    </row>
    <row r="36" spans="1:14" ht="24" customHeight="1">
      <c r="A36" s="223">
        <v>17</v>
      </c>
      <c r="B36" s="218" t="s">
        <v>1324</v>
      </c>
      <c r="C36" s="199" t="s">
        <v>187</v>
      </c>
      <c r="D36" s="217"/>
      <c r="E36" s="192">
        <v>296250</v>
      </c>
      <c r="F36" s="192">
        <v>296250</v>
      </c>
      <c r="G36" s="643">
        <v>0.08</v>
      </c>
      <c r="H36" s="643">
        <v>0.08</v>
      </c>
      <c r="I36" s="643">
        <v>1500000</v>
      </c>
      <c r="J36" s="643">
        <v>1500000</v>
      </c>
      <c r="K36" s="643">
        <v>1500000</v>
      </c>
      <c r="L36" s="643">
        <v>1500000</v>
      </c>
      <c r="M36" s="660">
        <v>0</v>
      </c>
      <c r="N36" s="660">
        <v>0</v>
      </c>
    </row>
    <row r="37" spans="1:14" ht="24" customHeight="1">
      <c r="A37" s="223">
        <v>18</v>
      </c>
      <c r="B37" s="198" t="s">
        <v>489</v>
      </c>
      <c r="C37" s="199" t="s">
        <v>173</v>
      </c>
      <c r="D37" s="217"/>
      <c r="E37" s="192">
        <v>35000</v>
      </c>
      <c r="F37" s="192">
        <v>35000</v>
      </c>
      <c r="G37" s="643">
        <v>3.83</v>
      </c>
      <c r="H37" s="643">
        <v>3.83</v>
      </c>
      <c r="I37" s="643">
        <v>1340000</v>
      </c>
      <c r="J37" s="643">
        <v>1340000</v>
      </c>
      <c r="K37" s="643">
        <v>1340000</v>
      </c>
      <c r="L37" s="643">
        <v>1340000</v>
      </c>
      <c r="M37" s="660">
        <v>361800</v>
      </c>
      <c r="N37" s="660">
        <v>361800</v>
      </c>
    </row>
    <row r="38" spans="1:14" ht="24" customHeight="1">
      <c r="A38" s="223">
        <v>19</v>
      </c>
      <c r="B38" s="218" t="s">
        <v>805</v>
      </c>
      <c r="C38" s="200" t="s">
        <v>321</v>
      </c>
      <c r="E38" s="192">
        <v>80000</v>
      </c>
      <c r="F38" s="192">
        <v>80000</v>
      </c>
      <c r="G38" s="643">
        <v>1.5</v>
      </c>
      <c r="H38" s="643">
        <v>1.5</v>
      </c>
      <c r="I38" s="643">
        <v>1200000</v>
      </c>
      <c r="J38" s="643">
        <v>1200000</v>
      </c>
      <c r="K38" s="643">
        <v>1200000</v>
      </c>
      <c r="L38" s="643">
        <v>1200000</v>
      </c>
      <c r="M38" s="643">
        <v>43200</v>
      </c>
      <c r="N38" s="643">
        <v>0</v>
      </c>
    </row>
    <row r="39" spans="1:14" ht="24" customHeight="1">
      <c r="A39" s="223">
        <v>20</v>
      </c>
      <c r="B39" s="218" t="s">
        <v>493</v>
      </c>
      <c r="C39" s="199"/>
      <c r="E39" s="192">
        <v>15000</v>
      </c>
      <c r="F39" s="192">
        <v>15000</v>
      </c>
      <c r="G39" s="643">
        <v>7</v>
      </c>
      <c r="H39" s="643">
        <v>7</v>
      </c>
      <c r="I39" s="643">
        <v>1050000</v>
      </c>
      <c r="J39" s="643">
        <v>1050000</v>
      </c>
      <c r="K39" s="643">
        <v>1050000</v>
      </c>
      <c r="L39" s="643">
        <v>1050000</v>
      </c>
      <c r="M39" s="647">
        <v>0</v>
      </c>
      <c r="N39" s="647">
        <v>0</v>
      </c>
    </row>
    <row r="40" spans="1:14" ht="24" customHeight="1">
      <c r="A40" s="223"/>
      <c r="B40" s="218"/>
      <c r="C40" s="199"/>
      <c r="D40" s="217"/>
      <c r="E40" s="192"/>
      <c r="F40" s="192"/>
      <c r="G40" s="241"/>
      <c r="H40" s="241"/>
      <c r="I40" s="224"/>
      <c r="J40" s="224"/>
      <c r="K40" s="224"/>
      <c r="L40" s="224"/>
      <c r="M40" s="199"/>
      <c r="N40" s="199"/>
    </row>
    <row r="41" spans="1:14" ht="24" customHeight="1">
      <c r="A41" s="223"/>
      <c r="B41" s="218"/>
      <c r="C41" s="199"/>
      <c r="D41" s="217"/>
      <c r="E41" s="192"/>
      <c r="F41" s="192"/>
      <c r="G41" s="241"/>
      <c r="H41" s="241"/>
      <c r="I41" s="224"/>
      <c r="J41" s="224"/>
      <c r="K41" s="224"/>
      <c r="L41" s="224"/>
      <c r="M41" s="199"/>
      <c r="N41" s="199"/>
    </row>
    <row r="42" spans="2:14" ht="23.25" customHeight="1">
      <c r="B42" s="217"/>
      <c r="C42" s="199"/>
      <c r="E42" s="224"/>
      <c r="F42" s="242"/>
      <c r="G42" s="224"/>
      <c r="H42" s="196"/>
      <c r="I42" s="224"/>
      <c r="J42" s="224"/>
      <c r="K42" s="224"/>
      <c r="L42" s="224"/>
      <c r="M42" s="199"/>
      <c r="N42" s="199"/>
    </row>
    <row r="43" spans="1:14" ht="24.75" customHeight="1">
      <c r="A43" s="206" t="s">
        <v>1274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</row>
    <row r="44" spans="1:14" s="208" customFormat="1" ht="24.75" customHeight="1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</row>
    <row r="45" spans="1:14" s="179" customFormat="1" ht="25.5" customHeight="1">
      <c r="A45" s="178" t="s">
        <v>27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</row>
    <row r="46" ht="26.25" customHeight="1"/>
    <row r="47" spans="1:14" ht="25.5" customHeight="1">
      <c r="A47" s="230" t="s">
        <v>1275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</row>
    <row r="48" spans="1:14" s="233" customFormat="1" ht="24.75" customHeight="1">
      <c r="A48" s="232" t="s">
        <v>221</v>
      </c>
      <c r="B48" s="232" t="s">
        <v>281</v>
      </c>
      <c r="C48" s="232" t="s">
        <v>239</v>
      </c>
      <c r="D48" s="232" t="s">
        <v>218</v>
      </c>
      <c r="E48" s="618" t="s">
        <v>222</v>
      </c>
      <c r="F48" s="618"/>
      <c r="G48" s="618" t="s">
        <v>282</v>
      </c>
      <c r="H48" s="618"/>
      <c r="I48" s="426" t="s">
        <v>541</v>
      </c>
      <c r="J48" s="426" t="s">
        <v>1171</v>
      </c>
      <c r="K48" s="618" t="s">
        <v>126</v>
      </c>
      <c r="L48" s="618"/>
      <c r="M48" s="616" t="s">
        <v>224</v>
      </c>
      <c r="N48" s="616"/>
    </row>
    <row r="49" spans="1:14" s="233" customFormat="1" ht="24.75" customHeight="1">
      <c r="A49" s="232" t="s">
        <v>283</v>
      </c>
      <c r="B49" s="232"/>
      <c r="C49" s="232"/>
      <c r="D49" s="232"/>
      <c r="E49" s="187"/>
      <c r="F49" s="187"/>
      <c r="G49" s="187"/>
      <c r="H49" s="187"/>
      <c r="I49" s="187"/>
      <c r="J49" s="187" t="s">
        <v>1172</v>
      </c>
      <c r="K49" s="187"/>
      <c r="L49" s="187"/>
      <c r="M49" s="185"/>
      <c r="N49" s="185"/>
    </row>
    <row r="50" spans="1:14" s="233" customFormat="1" ht="24.75" customHeight="1">
      <c r="A50" s="232"/>
      <c r="B50" s="232"/>
      <c r="C50" s="232"/>
      <c r="D50" s="232"/>
      <c r="E50" s="186"/>
      <c r="F50" s="186"/>
      <c r="G50" s="186"/>
      <c r="H50" s="186"/>
      <c r="I50" s="186"/>
      <c r="J50" s="186" t="s">
        <v>1173</v>
      </c>
      <c r="K50" s="186"/>
      <c r="L50" s="186"/>
      <c r="M50" s="185"/>
      <c r="N50" s="185"/>
    </row>
    <row r="51" spans="1:14" s="233" customFormat="1" ht="25.5" customHeight="1">
      <c r="A51" s="232"/>
      <c r="C51" s="232" t="s">
        <v>284</v>
      </c>
      <c r="D51" s="232" t="s">
        <v>219</v>
      </c>
      <c r="E51" s="620" t="s">
        <v>225</v>
      </c>
      <c r="F51" s="620"/>
      <c r="G51" s="621" t="s">
        <v>285</v>
      </c>
      <c r="H51" s="621"/>
      <c r="I51" s="620" t="s">
        <v>226</v>
      </c>
      <c r="J51" s="620"/>
      <c r="K51" s="620" t="s">
        <v>226</v>
      </c>
      <c r="L51" s="620"/>
      <c r="M51" s="621" t="s">
        <v>226</v>
      </c>
      <c r="N51" s="621"/>
    </row>
    <row r="52" spans="1:14" s="179" customFormat="1" ht="25.5" customHeight="1">
      <c r="A52" s="182"/>
      <c r="B52" s="182"/>
      <c r="C52" s="186"/>
      <c r="D52" s="186"/>
      <c r="E52" s="188" t="s">
        <v>898</v>
      </c>
      <c r="F52" s="188" t="s">
        <v>747</v>
      </c>
      <c r="G52" s="188" t="s">
        <v>898</v>
      </c>
      <c r="H52" s="188" t="s">
        <v>747</v>
      </c>
      <c r="I52" s="188" t="s">
        <v>898</v>
      </c>
      <c r="J52" s="188" t="s">
        <v>747</v>
      </c>
      <c r="K52" s="188" t="s">
        <v>898</v>
      </c>
      <c r="L52" s="188" t="s">
        <v>747</v>
      </c>
      <c r="M52" s="188" t="s">
        <v>898</v>
      </c>
      <c r="N52" s="188" t="s">
        <v>747</v>
      </c>
    </row>
    <row r="53" spans="1:3" ht="25.5" customHeight="1">
      <c r="A53" s="223">
        <v>21</v>
      </c>
      <c r="B53" s="218" t="s">
        <v>1276</v>
      </c>
      <c r="C53" s="199"/>
    </row>
    <row r="54" spans="1:14" ht="25.5" customHeight="1">
      <c r="A54" s="223"/>
      <c r="B54" s="218" t="s">
        <v>779</v>
      </c>
      <c r="C54" s="199"/>
      <c r="E54" s="192">
        <v>100000</v>
      </c>
      <c r="F54" s="192">
        <v>100000</v>
      </c>
      <c r="G54" s="643">
        <v>1</v>
      </c>
      <c r="H54" s="643">
        <v>1</v>
      </c>
      <c r="I54" s="643">
        <v>1000000</v>
      </c>
      <c r="J54" s="643">
        <v>1000000</v>
      </c>
      <c r="K54" s="643">
        <v>1000000</v>
      </c>
      <c r="L54" s="643">
        <v>1000000</v>
      </c>
      <c r="M54" s="647">
        <v>0</v>
      </c>
      <c r="N54" s="647">
        <v>0</v>
      </c>
    </row>
    <row r="55" spans="1:14" ht="25.5" customHeight="1">
      <c r="A55" s="223">
        <v>22</v>
      </c>
      <c r="B55" s="198" t="s">
        <v>492</v>
      </c>
      <c r="C55" s="199" t="s">
        <v>189</v>
      </c>
      <c r="E55" s="192">
        <v>60000</v>
      </c>
      <c r="F55" s="192">
        <v>60000</v>
      </c>
      <c r="G55" s="643">
        <v>1.67</v>
      </c>
      <c r="H55" s="643">
        <v>1.67</v>
      </c>
      <c r="I55" s="643">
        <v>1000000</v>
      </c>
      <c r="J55" s="643">
        <v>1000000</v>
      </c>
      <c r="K55" s="643">
        <v>1000000</v>
      </c>
      <c r="L55" s="643">
        <v>1000000</v>
      </c>
      <c r="M55" s="367">
        <v>60000</v>
      </c>
      <c r="N55" s="367">
        <v>100000</v>
      </c>
    </row>
    <row r="56" spans="1:14" ht="24.75" customHeight="1">
      <c r="A56" s="223">
        <v>23</v>
      </c>
      <c r="B56" s="218" t="s">
        <v>147</v>
      </c>
      <c r="C56" s="199" t="s">
        <v>172</v>
      </c>
      <c r="D56" s="217"/>
      <c r="E56" s="192">
        <v>18000</v>
      </c>
      <c r="F56" s="192">
        <v>18000</v>
      </c>
      <c r="G56" s="643">
        <v>3.78</v>
      </c>
      <c r="H56" s="643">
        <v>3.78</v>
      </c>
      <c r="I56" s="643">
        <f>680000-140335</f>
        <v>539665</v>
      </c>
      <c r="J56" s="643">
        <v>680000</v>
      </c>
      <c r="K56" s="643">
        <f>680000-140335</f>
        <v>539665</v>
      </c>
      <c r="L56" s="643">
        <v>680000</v>
      </c>
      <c r="M56" s="645">
        <v>0</v>
      </c>
      <c r="N56" s="645">
        <v>0</v>
      </c>
    </row>
    <row r="57" spans="1:14" ht="24.75" customHeight="1">
      <c r="A57" s="223">
        <v>24</v>
      </c>
      <c r="B57" s="218" t="s">
        <v>387</v>
      </c>
      <c r="C57" s="199"/>
      <c r="D57" s="217"/>
      <c r="E57" s="192"/>
      <c r="F57" s="192"/>
      <c r="G57" s="643"/>
      <c r="H57" s="643"/>
      <c r="I57" s="643"/>
      <c r="J57" s="643"/>
      <c r="K57" s="643"/>
      <c r="L57" s="643"/>
      <c r="M57" s="643"/>
      <c r="N57" s="643"/>
    </row>
    <row r="58" spans="1:14" ht="25.5" customHeight="1">
      <c r="A58" s="223"/>
      <c r="B58" s="218" t="s">
        <v>780</v>
      </c>
      <c r="C58" s="199" t="s">
        <v>321</v>
      </c>
      <c r="D58" s="217"/>
      <c r="E58" s="192">
        <v>320325</v>
      </c>
      <c r="F58" s="192">
        <v>320325</v>
      </c>
      <c r="G58" s="643">
        <v>0.02</v>
      </c>
      <c r="H58" s="643">
        <v>0.02</v>
      </c>
      <c r="I58" s="643">
        <v>520000</v>
      </c>
      <c r="J58" s="643">
        <v>520000</v>
      </c>
      <c r="K58" s="643">
        <v>520000</v>
      </c>
      <c r="L58" s="643">
        <v>520000</v>
      </c>
      <c r="M58" s="643">
        <v>3375</v>
      </c>
      <c r="N58" s="643">
        <v>0</v>
      </c>
    </row>
    <row r="59" spans="1:15" ht="25.5" customHeight="1">
      <c r="A59" s="223"/>
      <c r="B59" s="218" t="s">
        <v>86</v>
      </c>
      <c r="C59" s="243"/>
      <c r="I59" s="244">
        <f aca="true" t="shared" si="2" ref="I59:N59">SUM(I22:I58)</f>
        <v>72952295</v>
      </c>
      <c r="J59" s="244">
        <f t="shared" si="2"/>
        <v>65592630</v>
      </c>
      <c r="K59" s="244">
        <f t="shared" si="2"/>
        <v>72952295</v>
      </c>
      <c r="L59" s="244">
        <f t="shared" si="2"/>
        <v>65592630</v>
      </c>
      <c r="M59" s="244">
        <f t="shared" si="2"/>
        <v>6416221.25</v>
      </c>
      <c r="N59" s="244">
        <f t="shared" si="2"/>
        <v>10209017.600000001</v>
      </c>
      <c r="O59" s="244"/>
    </row>
    <row r="60" spans="1:14" ht="25.5" customHeight="1">
      <c r="A60" s="223"/>
      <c r="B60" s="217" t="s">
        <v>325</v>
      </c>
      <c r="C60" s="221"/>
      <c r="I60" s="245">
        <v>-26873215.74</v>
      </c>
      <c r="J60" s="245">
        <v>-23775069.37</v>
      </c>
      <c r="K60" s="245">
        <v>-26873215.74</v>
      </c>
      <c r="L60" s="245">
        <v>-23775069.37</v>
      </c>
      <c r="M60" s="660">
        <v>0</v>
      </c>
      <c r="N60" s="659">
        <v>0</v>
      </c>
    </row>
    <row r="61" spans="1:14" ht="25.5" customHeight="1" thickBot="1">
      <c r="A61" s="223"/>
      <c r="B61" s="217" t="s">
        <v>201</v>
      </c>
      <c r="C61" s="221"/>
      <c r="I61" s="651">
        <f aca="true" t="shared" si="3" ref="I61:N61">SUM(I59:I60)</f>
        <v>46079079.260000005</v>
      </c>
      <c r="J61" s="651">
        <f t="shared" si="3"/>
        <v>41817560.629999995</v>
      </c>
      <c r="K61" s="651">
        <f t="shared" si="3"/>
        <v>46079079.260000005</v>
      </c>
      <c r="L61" s="651">
        <f t="shared" si="3"/>
        <v>41817560.629999995</v>
      </c>
      <c r="M61" s="651">
        <f t="shared" si="3"/>
        <v>6416221.25</v>
      </c>
      <c r="N61" s="651">
        <f t="shared" si="3"/>
        <v>10209017.600000001</v>
      </c>
    </row>
    <row r="62" spans="1:14" ht="25.5" customHeight="1" thickBot="1" thickTop="1">
      <c r="A62" s="223"/>
      <c r="B62" s="246" t="s">
        <v>202</v>
      </c>
      <c r="G62" s="200" t="s">
        <v>369</v>
      </c>
      <c r="I62" s="662">
        <f aca="true" t="shared" si="4" ref="I62:N62">I19+I61</f>
        <v>172788953.06</v>
      </c>
      <c r="J62" s="662">
        <f t="shared" si="4"/>
        <v>153807910.13</v>
      </c>
      <c r="K62" s="662">
        <f t="shared" si="4"/>
        <v>172788953.06</v>
      </c>
      <c r="L62" s="662">
        <f t="shared" si="4"/>
        <v>153807910.13</v>
      </c>
      <c r="M62" s="662">
        <f t="shared" si="4"/>
        <v>8670637.25</v>
      </c>
      <c r="N62" s="662">
        <f t="shared" si="4"/>
        <v>13395527.600000001</v>
      </c>
    </row>
    <row r="63" spans="1:14" ht="25.5" customHeight="1" thickTop="1">
      <c r="A63" s="223"/>
      <c r="B63" s="246"/>
      <c r="I63" s="247"/>
      <c r="J63" s="247"/>
      <c r="K63" s="247"/>
      <c r="L63" s="247"/>
      <c r="M63" s="248"/>
      <c r="N63" s="247"/>
    </row>
    <row r="64" spans="1:14" ht="25.5" customHeight="1">
      <c r="A64" s="223"/>
      <c r="B64" s="198"/>
      <c r="C64" s="219"/>
      <c r="E64" s="235"/>
      <c r="F64" s="235"/>
      <c r="G64" s="196"/>
      <c r="H64" s="196"/>
      <c r="I64" s="224"/>
      <c r="J64" s="224"/>
      <c r="K64" s="224"/>
      <c r="L64" s="224"/>
      <c r="M64" s="199"/>
      <c r="N64" s="249"/>
    </row>
    <row r="65" spans="1:14" ht="25.5" customHeight="1">
      <c r="A65" s="223"/>
      <c r="B65" s="198"/>
      <c r="C65" s="219"/>
      <c r="E65" s="235"/>
      <c r="F65" s="235"/>
      <c r="G65" s="196"/>
      <c r="H65" s="196"/>
      <c r="I65" s="224"/>
      <c r="J65" s="224"/>
      <c r="K65" s="224"/>
      <c r="L65" s="224"/>
      <c r="M65" s="199"/>
      <c r="N65" s="249"/>
    </row>
    <row r="66" spans="1:14" ht="25.5" customHeight="1">
      <c r="A66" s="223"/>
      <c r="B66" s="198"/>
      <c r="C66" s="219"/>
      <c r="E66" s="235"/>
      <c r="F66" s="235"/>
      <c r="G66" s="196"/>
      <c r="H66" s="196"/>
      <c r="I66" s="224"/>
      <c r="J66" s="224"/>
      <c r="K66" s="224"/>
      <c r="L66" s="224"/>
      <c r="M66" s="199"/>
      <c r="N66" s="249"/>
    </row>
    <row r="67" spans="1:14" ht="25.5" customHeight="1">
      <c r="A67" s="223"/>
      <c r="B67" s="198"/>
      <c r="C67" s="219"/>
      <c r="E67" s="235"/>
      <c r="F67" s="235"/>
      <c r="G67" s="196"/>
      <c r="H67" s="196"/>
      <c r="I67" s="224"/>
      <c r="J67" s="224"/>
      <c r="K67" s="224"/>
      <c r="L67" s="224"/>
      <c r="M67" s="199"/>
      <c r="N67" s="249"/>
    </row>
    <row r="68" spans="1:14" ht="25.5" customHeight="1">
      <c r="A68" s="223"/>
      <c r="B68" s="198"/>
      <c r="C68" s="219"/>
      <c r="E68" s="235"/>
      <c r="F68" s="235"/>
      <c r="G68" s="196"/>
      <c r="H68" s="196"/>
      <c r="I68" s="224"/>
      <c r="J68" s="224"/>
      <c r="K68" s="224"/>
      <c r="L68" s="224"/>
      <c r="M68" s="199"/>
      <c r="N68" s="249"/>
    </row>
    <row r="69" spans="1:14" ht="25.5" customHeight="1">
      <c r="A69" s="223"/>
      <c r="B69" s="198"/>
      <c r="C69" s="219"/>
      <c r="E69" s="235"/>
      <c r="F69" s="235"/>
      <c r="G69" s="196"/>
      <c r="H69" s="196"/>
      <c r="I69" s="224"/>
      <c r="J69" s="224"/>
      <c r="K69" s="224"/>
      <c r="L69" s="224"/>
      <c r="M69" s="199"/>
      <c r="N69" s="249"/>
    </row>
    <row r="70" spans="1:14" ht="25.5" customHeight="1">
      <c r="A70" s="223"/>
      <c r="B70" s="198"/>
      <c r="C70" s="219"/>
      <c r="E70" s="235"/>
      <c r="F70" s="235"/>
      <c r="G70" s="196"/>
      <c r="H70" s="196"/>
      <c r="I70" s="224"/>
      <c r="J70" s="224"/>
      <c r="K70" s="224"/>
      <c r="L70" s="224"/>
      <c r="M70" s="199"/>
      <c r="N70" s="249"/>
    </row>
    <row r="71" spans="1:14" ht="25.5" customHeight="1">
      <c r="A71" s="223"/>
      <c r="B71" s="198"/>
      <c r="C71" s="219"/>
      <c r="E71" s="235"/>
      <c r="F71" s="235"/>
      <c r="G71" s="196"/>
      <c r="H71" s="196"/>
      <c r="I71" s="224"/>
      <c r="J71" s="224"/>
      <c r="K71" s="224"/>
      <c r="L71" s="224"/>
      <c r="M71" s="199"/>
      <c r="N71" s="249"/>
    </row>
    <row r="72" spans="1:14" ht="25.5" customHeight="1">
      <c r="A72" s="223"/>
      <c r="B72" s="198"/>
      <c r="C72" s="219"/>
      <c r="E72" s="235"/>
      <c r="F72" s="235"/>
      <c r="G72" s="196"/>
      <c r="H72" s="196"/>
      <c r="I72" s="224"/>
      <c r="J72" s="224"/>
      <c r="K72" s="224"/>
      <c r="L72" s="224"/>
      <c r="M72" s="199"/>
      <c r="N72" s="249"/>
    </row>
    <row r="73" spans="1:14" ht="24.75" customHeight="1">
      <c r="A73" s="206" t="s">
        <v>1274</v>
      </c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</row>
    <row r="74" spans="1:14" s="208" customFormat="1" ht="24.75" customHeight="1">
      <c r="A74" s="207"/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</row>
    <row r="75" ht="25.5" customHeight="1">
      <c r="A75" s="223"/>
    </row>
    <row r="76" ht="25.5" customHeight="1">
      <c r="A76" s="223"/>
    </row>
    <row r="77" ht="25.5" customHeight="1">
      <c r="A77" s="223"/>
    </row>
    <row r="78" ht="25.5" customHeight="1">
      <c r="A78" s="223"/>
    </row>
    <row r="79" ht="25.5" customHeight="1">
      <c r="A79" s="223"/>
    </row>
    <row r="80" ht="25.5" customHeight="1">
      <c r="A80" s="223"/>
    </row>
    <row r="81" ht="25.5" customHeight="1">
      <c r="A81" s="223"/>
    </row>
    <row r="82" ht="25.5" customHeight="1">
      <c r="A82" s="223"/>
    </row>
    <row r="83" ht="25.5" customHeight="1">
      <c r="A83" s="223"/>
    </row>
    <row r="84" ht="25.5" customHeight="1">
      <c r="A84" s="223"/>
    </row>
    <row r="85" ht="25.5" customHeight="1">
      <c r="A85" s="223"/>
    </row>
    <row r="86" ht="25.5" customHeight="1">
      <c r="A86" s="223"/>
    </row>
    <row r="87" ht="25.5" customHeight="1">
      <c r="A87" s="223"/>
    </row>
    <row r="88" ht="25.5" customHeight="1">
      <c r="A88" s="223"/>
    </row>
    <row r="89" ht="25.5" customHeight="1">
      <c r="A89" s="223"/>
    </row>
    <row r="90" ht="25.5" customHeight="1">
      <c r="A90" s="223"/>
    </row>
    <row r="91" ht="25.5" customHeight="1">
      <c r="A91" s="223"/>
    </row>
    <row r="92" ht="25.5" customHeight="1">
      <c r="A92" s="223"/>
    </row>
    <row r="93" ht="25.5" customHeight="1">
      <c r="A93" s="223"/>
    </row>
    <row r="94" ht="25.5" customHeight="1">
      <c r="A94" s="223"/>
    </row>
    <row r="95" ht="25.5" customHeight="1">
      <c r="A95" s="223"/>
    </row>
    <row r="96" ht="25.5" customHeight="1">
      <c r="A96" s="223"/>
    </row>
    <row r="97" ht="25.5" customHeight="1">
      <c r="A97" s="223"/>
    </row>
    <row r="98" ht="25.5" customHeight="1">
      <c r="A98" s="223"/>
    </row>
    <row r="99" ht="25.5" customHeight="1">
      <c r="A99" s="223"/>
    </row>
    <row r="100" ht="25.5" customHeight="1">
      <c r="A100" s="223"/>
    </row>
    <row r="101" ht="25.5" customHeight="1">
      <c r="A101" s="223"/>
    </row>
    <row r="102" ht="25.5" customHeight="1">
      <c r="A102" s="223"/>
    </row>
    <row r="103" ht="25.5" customHeight="1">
      <c r="A103" s="223"/>
    </row>
    <row r="104" ht="25.5" customHeight="1">
      <c r="A104" s="223"/>
    </row>
    <row r="105" ht="25.5" customHeight="1">
      <c r="A105" s="223"/>
    </row>
    <row r="106" ht="25.5" customHeight="1">
      <c r="A106" s="223"/>
    </row>
    <row r="107" ht="25.5" customHeight="1">
      <c r="A107" s="223"/>
    </row>
    <row r="108" ht="25.5" customHeight="1">
      <c r="A108" s="223"/>
    </row>
    <row r="109" ht="25.5" customHeight="1">
      <c r="A109" s="223"/>
    </row>
    <row r="110" ht="25.5" customHeight="1">
      <c r="A110" s="223"/>
    </row>
    <row r="111" ht="25.5" customHeight="1">
      <c r="A111" s="223"/>
    </row>
    <row r="112" ht="25.5" customHeight="1">
      <c r="A112" s="223"/>
    </row>
    <row r="113" ht="25.5" customHeight="1">
      <c r="A113" s="223"/>
    </row>
    <row r="114" ht="25.5" customHeight="1">
      <c r="A114" s="223"/>
    </row>
    <row r="115" ht="25.5" customHeight="1">
      <c r="A115" s="223"/>
    </row>
    <row r="116" ht="25.5" customHeight="1">
      <c r="A116" s="223"/>
    </row>
    <row r="117" ht="25.5" customHeight="1">
      <c r="A117" s="223"/>
    </row>
    <row r="118" ht="25.5" customHeight="1">
      <c r="A118" s="223"/>
    </row>
    <row r="119" ht="25.5" customHeight="1">
      <c r="A119" s="223"/>
    </row>
    <row r="120" ht="25.5" customHeight="1">
      <c r="A120" s="223"/>
    </row>
    <row r="121" ht="25.5" customHeight="1">
      <c r="A121" s="223"/>
    </row>
    <row r="122" ht="25.5" customHeight="1">
      <c r="A122" s="223"/>
    </row>
    <row r="123" ht="25.5" customHeight="1">
      <c r="A123" s="223"/>
    </row>
    <row r="124" ht="25.5" customHeight="1">
      <c r="A124" s="223"/>
    </row>
    <row r="125" ht="25.5" customHeight="1">
      <c r="A125" s="223"/>
    </row>
    <row r="126" ht="25.5" customHeight="1">
      <c r="A126" s="223"/>
    </row>
    <row r="127" ht="25.5" customHeight="1">
      <c r="A127" s="223"/>
    </row>
    <row r="128" ht="25.5" customHeight="1">
      <c r="A128" s="223"/>
    </row>
    <row r="129" ht="25.5" customHeight="1">
      <c r="A129" s="223"/>
    </row>
    <row r="130" ht="25.5" customHeight="1">
      <c r="A130" s="223"/>
    </row>
    <row r="131" ht="25.5" customHeight="1">
      <c r="A131" s="223"/>
    </row>
    <row r="132" ht="25.5" customHeight="1">
      <c r="A132" s="223"/>
    </row>
    <row r="133" ht="25.5" customHeight="1">
      <c r="A133" s="223"/>
    </row>
    <row r="134" ht="25.5" customHeight="1">
      <c r="A134" s="223"/>
    </row>
    <row r="135" ht="25.5" customHeight="1">
      <c r="A135" s="223"/>
    </row>
    <row r="136" ht="25.5" customHeight="1">
      <c r="A136" s="223"/>
    </row>
    <row r="137" ht="25.5" customHeight="1">
      <c r="A137" s="223"/>
    </row>
    <row r="138" ht="25.5" customHeight="1">
      <c r="A138" s="223"/>
    </row>
    <row r="139" ht="25.5" customHeight="1">
      <c r="A139" s="223"/>
    </row>
    <row r="140" ht="25.5" customHeight="1">
      <c r="A140" s="223"/>
    </row>
    <row r="141" ht="25.5" customHeight="1">
      <c r="A141" s="223"/>
    </row>
    <row r="142" ht="25.5" customHeight="1">
      <c r="A142" s="223"/>
    </row>
    <row r="143" ht="25.5" customHeight="1">
      <c r="A143" s="223"/>
    </row>
    <row r="144" ht="25.5" customHeight="1">
      <c r="A144" s="223"/>
    </row>
    <row r="145" ht="25.5" customHeight="1">
      <c r="A145" s="223"/>
    </row>
    <row r="146" ht="25.5" customHeight="1">
      <c r="A146" s="223"/>
    </row>
    <row r="147" ht="25.5" customHeight="1">
      <c r="A147" s="223"/>
    </row>
    <row r="148" ht="25.5" customHeight="1">
      <c r="A148" s="223"/>
    </row>
    <row r="149" ht="25.5" customHeight="1">
      <c r="A149" s="223"/>
    </row>
    <row r="150" ht="25.5" customHeight="1">
      <c r="A150" s="223"/>
    </row>
    <row r="151" ht="25.5" customHeight="1">
      <c r="A151" s="223"/>
    </row>
    <row r="152" ht="25.5" customHeight="1">
      <c r="A152" s="223"/>
    </row>
    <row r="153" ht="25.5" customHeight="1">
      <c r="A153" s="223"/>
    </row>
    <row r="154" ht="25.5" customHeight="1">
      <c r="A154" s="223"/>
    </row>
    <row r="155" ht="25.5" customHeight="1">
      <c r="A155" s="223"/>
    </row>
    <row r="156" ht="25.5" customHeight="1">
      <c r="A156" s="223"/>
    </row>
    <row r="157" ht="25.5" customHeight="1">
      <c r="A157" s="223"/>
    </row>
    <row r="158" ht="25.5" customHeight="1">
      <c r="A158" s="223"/>
    </row>
    <row r="159" ht="25.5" customHeight="1">
      <c r="A159" s="223"/>
    </row>
    <row r="160" ht="25.5" customHeight="1">
      <c r="A160" s="223"/>
    </row>
    <row r="161" ht="25.5" customHeight="1">
      <c r="A161" s="223"/>
    </row>
    <row r="162" ht="25.5" customHeight="1">
      <c r="A162" s="223"/>
    </row>
    <row r="163" ht="25.5" customHeight="1">
      <c r="A163" s="223"/>
    </row>
    <row r="164" ht="25.5" customHeight="1">
      <c r="A164" s="223"/>
    </row>
    <row r="165" ht="25.5" customHeight="1">
      <c r="A165" s="223"/>
    </row>
    <row r="166" ht="25.5" customHeight="1">
      <c r="A166" s="223"/>
    </row>
    <row r="167" ht="25.5" customHeight="1">
      <c r="A167" s="223"/>
    </row>
    <row r="168" ht="25.5" customHeight="1">
      <c r="A168" s="223"/>
    </row>
    <row r="169" ht="25.5" customHeight="1">
      <c r="A169" s="223"/>
    </row>
    <row r="170" ht="25.5" customHeight="1">
      <c r="A170" s="223"/>
    </row>
    <row r="171" ht="25.5" customHeight="1">
      <c r="A171" s="223"/>
    </row>
    <row r="172" ht="25.5" customHeight="1">
      <c r="A172" s="223"/>
    </row>
    <row r="173" ht="25.5" customHeight="1">
      <c r="A173" s="223"/>
    </row>
    <row r="174" ht="25.5" customHeight="1">
      <c r="A174" s="223"/>
    </row>
    <row r="175" ht="25.5" customHeight="1">
      <c r="A175" s="223"/>
    </row>
    <row r="176" ht="25.5" customHeight="1">
      <c r="A176" s="223"/>
    </row>
    <row r="177" ht="25.5" customHeight="1">
      <c r="A177" s="223"/>
    </row>
    <row r="178" ht="25.5" customHeight="1">
      <c r="A178" s="223"/>
    </row>
    <row r="179" ht="25.5" customHeight="1">
      <c r="A179" s="223"/>
    </row>
    <row r="180" ht="25.5" customHeight="1">
      <c r="A180" s="223"/>
    </row>
    <row r="181" ht="25.5" customHeight="1">
      <c r="A181" s="223"/>
    </row>
    <row r="182" ht="25.5" customHeight="1">
      <c r="A182" s="223"/>
    </row>
    <row r="183" ht="25.5" customHeight="1">
      <c r="A183" s="223"/>
    </row>
    <row r="184" ht="25.5" customHeight="1">
      <c r="A184" s="223"/>
    </row>
    <row r="185" ht="25.5" customHeight="1">
      <c r="A185" s="223"/>
    </row>
    <row r="186" ht="25.5" customHeight="1">
      <c r="A186" s="223"/>
    </row>
    <row r="187" ht="25.5" customHeight="1">
      <c r="A187" s="223"/>
    </row>
    <row r="188" ht="25.5" customHeight="1">
      <c r="A188" s="223"/>
    </row>
    <row r="189" ht="25.5" customHeight="1">
      <c r="A189" s="223"/>
    </row>
    <row r="190" ht="25.5" customHeight="1">
      <c r="A190" s="223"/>
    </row>
    <row r="191" ht="25.5" customHeight="1">
      <c r="A191" s="223"/>
    </row>
    <row r="192" ht="25.5" customHeight="1">
      <c r="A192" s="223"/>
    </row>
    <row r="193" ht="25.5" customHeight="1">
      <c r="A193" s="223"/>
    </row>
    <row r="194" ht="25.5" customHeight="1">
      <c r="A194" s="223"/>
    </row>
    <row r="195" ht="25.5" customHeight="1">
      <c r="A195" s="223"/>
    </row>
    <row r="196" ht="25.5" customHeight="1">
      <c r="A196" s="223"/>
    </row>
    <row r="197" ht="25.5" customHeight="1">
      <c r="A197" s="223"/>
    </row>
    <row r="198" ht="25.5" customHeight="1">
      <c r="A198" s="223"/>
    </row>
    <row r="199" ht="25.5" customHeight="1">
      <c r="A199" s="223"/>
    </row>
    <row r="200" ht="25.5" customHeight="1">
      <c r="A200" s="223"/>
    </row>
    <row r="201" ht="25.5" customHeight="1">
      <c r="A201" s="223"/>
    </row>
    <row r="202" ht="25.5" customHeight="1">
      <c r="A202" s="223"/>
    </row>
    <row r="203" ht="25.5" customHeight="1">
      <c r="A203" s="223"/>
    </row>
    <row r="204" ht="25.5" customHeight="1">
      <c r="A204" s="223"/>
    </row>
    <row r="205" ht="25.5" customHeight="1">
      <c r="A205" s="223"/>
    </row>
    <row r="206" ht="25.5" customHeight="1">
      <c r="A206" s="223"/>
    </row>
    <row r="207" ht="25.5" customHeight="1">
      <c r="A207" s="223"/>
    </row>
    <row r="208" ht="25.5" customHeight="1">
      <c r="A208" s="223"/>
    </row>
    <row r="209" ht="25.5" customHeight="1">
      <c r="A209" s="223"/>
    </row>
    <row r="210" ht="25.5" customHeight="1">
      <c r="A210" s="223"/>
    </row>
    <row r="211" ht="25.5" customHeight="1">
      <c r="A211" s="223"/>
    </row>
    <row r="212" ht="25.5" customHeight="1">
      <c r="A212" s="223"/>
    </row>
    <row r="213" ht="25.5" customHeight="1">
      <c r="A213" s="223"/>
    </row>
    <row r="214" ht="25.5" customHeight="1">
      <c r="A214" s="223"/>
    </row>
    <row r="215" ht="25.5" customHeight="1">
      <c r="A215" s="223"/>
    </row>
    <row r="216" ht="25.5" customHeight="1">
      <c r="A216" s="223"/>
    </row>
    <row r="217" ht="25.5" customHeight="1">
      <c r="A217" s="223"/>
    </row>
    <row r="218" ht="25.5" customHeight="1">
      <c r="A218" s="223"/>
    </row>
    <row r="219" ht="25.5" customHeight="1">
      <c r="A219" s="223"/>
    </row>
    <row r="220" ht="25.5" customHeight="1">
      <c r="A220" s="223"/>
    </row>
    <row r="221" ht="25.5" customHeight="1">
      <c r="A221" s="223"/>
    </row>
    <row r="222" ht="25.5" customHeight="1">
      <c r="A222" s="223"/>
    </row>
    <row r="223" ht="25.5" customHeight="1">
      <c r="A223" s="223"/>
    </row>
    <row r="224" ht="25.5" customHeight="1">
      <c r="A224" s="223"/>
    </row>
    <row r="225" ht="25.5" customHeight="1">
      <c r="A225" s="223"/>
    </row>
    <row r="226" ht="25.5" customHeight="1">
      <c r="A226" s="223"/>
    </row>
    <row r="227" ht="25.5" customHeight="1">
      <c r="A227" s="223"/>
    </row>
    <row r="228" ht="25.5" customHeight="1">
      <c r="A228" s="223"/>
    </row>
    <row r="229" ht="25.5" customHeight="1">
      <c r="A229" s="223"/>
    </row>
    <row r="230" ht="25.5" customHeight="1">
      <c r="A230" s="223"/>
    </row>
    <row r="231" ht="25.5" customHeight="1">
      <c r="A231" s="223"/>
    </row>
    <row r="232" ht="25.5" customHeight="1">
      <c r="A232" s="223"/>
    </row>
    <row r="233" ht="25.5" customHeight="1">
      <c r="A233" s="223"/>
    </row>
    <row r="234" ht="25.5" customHeight="1">
      <c r="A234" s="223"/>
    </row>
    <row r="235" ht="25.5" customHeight="1">
      <c r="A235" s="223"/>
    </row>
    <row r="236" ht="25.5" customHeight="1">
      <c r="A236" s="223"/>
    </row>
    <row r="237" ht="25.5" customHeight="1">
      <c r="A237" s="223"/>
    </row>
    <row r="238" ht="25.5" customHeight="1">
      <c r="A238" s="223"/>
    </row>
    <row r="239" ht="25.5" customHeight="1">
      <c r="A239" s="223"/>
    </row>
    <row r="240" ht="25.5" customHeight="1">
      <c r="A240" s="223"/>
    </row>
    <row r="241" ht="25.5" customHeight="1">
      <c r="A241" s="223"/>
    </row>
    <row r="242" ht="25.5" customHeight="1">
      <c r="A242" s="223"/>
    </row>
    <row r="243" ht="25.5" customHeight="1">
      <c r="A243" s="223"/>
    </row>
    <row r="244" ht="25.5" customHeight="1">
      <c r="A244" s="223"/>
    </row>
    <row r="245" ht="25.5" customHeight="1">
      <c r="A245" s="223"/>
    </row>
    <row r="246" ht="25.5" customHeight="1">
      <c r="A246" s="223"/>
    </row>
    <row r="247" ht="25.5" customHeight="1">
      <c r="A247" s="223"/>
    </row>
    <row r="248" ht="25.5" customHeight="1">
      <c r="A248" s="223"/>
    </row>
    <row r="249" ht="25.5" customHeight="1">
      <c r="A249" s="223"/>
    </row>
    <row r="250" ht="25.5" customHeight="1">
      <c r="A250" s="223"/>
    </row>
    <row r="251" ht="25.5" customHeight="1">
      <c r="A251" s="223"/>
    </row>
    <row r="252" ht="25.5" customHeight="1">
      <c r="A252" s="223"/>
    </row>
    <row r="253" ht="25.5" customHeight="1">
      <c r="A253" s="223"/>
    </row>
    <row r="254" ht="25.5" customHeight="1">
      <c r="A254" s="223"/>
    </row>
    <row r="255" ht="25.5" customHeight="1">
      <c r="A255" s="223"/>
    </row>
    <row r="256" ht="25.5" customHeight="1">
      <c r="A256" s="223"/>
    </row>
    <row r="257" ht="25.5" customHeight="1">
      <c r="A257" s="223"/>
    </row>
    <row r="258" ht="25.5" customHeight="1">
      <c r="A258" s="223"/>
    </row>
    <row r="259" ht="25.5" customHeight="1">
      <c r="A259" s="223"/>
    </row>
    <row r="260" ht="25.5" customHeight="1">
      <c r="A260" s="223"/>
    </row>
    <row r="261" ht="25.5" customHeight="1">
      <c r="A261" s="223"/>
    </row>
    <row r="262" ht="25.5" customHeight="1">
      <c r="A262" s="223"/>
    </row>
    <row r="263" ht="25.5" customHeight="1">
      <c r="A263" s="223"/>
    </row>
    <row r="264" ht="25.5" customHeight="1">
      <c r="A264" s="223"/>
    </row>
    <row r="265" ht="25.5" customHeight="1">
      <c r="A265" s="223"/>
    </row>
    <row r="266" ht="25.5" customHeight="1">
      <c r="A266" s="223"/>
    </row>
    <row r="267" ht="25.5" customHeight="1">
      <c r="A267" s="223"/>
    </row>
    <row r="268" ht="25.5" customHeight="1">
      <c r="A268" s="223"/>
    </row>
    <row r="269" ht="25.5" customHeight="1">
      <c r="A269" s="223"/>
    </row>
    <row r="270" ht="25.5" customHeight="1">
      <c r="A270" s="223"/>
    </row>
    <row r="271" ht="25.5" customHeight="1">
      <c r="A271" s="223"/>
    </row>
    <row r="272" ht="25.5" customHeight="1">
      <c r="A272" s="223"/>
    </row>
    <row r="273" ht="25.5" customHeight="1">
      <c r="A273" s="223"/>
    </row>
    <row r="274" ht="25.5" customHeight="1">
      <c r="A274" s="223"/>
    </row>
    <row r="275" ht="25.5" customHeight="1">
      <c r="A275" s="223"/>
    </row>
    <row r="276" ht="25.5" customHeight="1">
      <c r="A276" s="223"/>
    </row>
    <row r="277" ht="25.5" customHeight="1">
      <c r="A277" s="223"/>
    </row>
    <row r="278" ht="25.5" customHeight="1">
      <c r="A278" s="223"/>
    </row>
    <row r="279" ht="25.5" customHeight="1">
      <c r="A279" s="223"/>
    </row>
    <row r="280" ht="25.5" customHeight="1">
      <c r="A280" s="223"/>
    </row>
    <row r="281" ht="25.5" customHeight="1">
      <c r="A281" s="223"/>
    </row>
    <row r="282" ht="25.5" customHeight="1">
      <c r="A282" s="223"/>
    </row>
    <row r="283" ht="25.5" customHeight="1">
      <c r="A283" s="223"/>
    </row>
    <row r="284" ht="25.5" customHeight="1">
      <c r="A284" s="223"/>
    </row>
    <row r="285" ht="25.5" customHeight="1">
      <c r="A285" s="223"/>
    </row>
    <row r="286" ht="25.5" customHeight="1">
      <c r="A286" s="223"/>
    </row>
    <row r="287" ht="25.5" customHeight="1">
      <c r="A287" s="223"/>
    </row>
    <row r="288" ht="25.5" customHeight="1">
      <c r="A288" s="223"/>
    </row>
    <row r="289" ht="25.5" customHeight="1">
      <c r="A289" s="223"/>
    </row>
    <row r="290" ht="25.5" customHeight="1">
      <c r="A290" s="223"/>
    </row>
    <row r="291" ht="25.5" customHeight="1">
      <c r="A291" s="223"/>
    </row>
    <row r="292" ht="25.5" customHeight="1">
      <c r="A292" s="223"/>
    </row>
    <row r="293" ht="25.5" customHeight="1">
      <c r="A293" s="223"/>
    </row>
    <row r="294" ht="25.5" customHeight="1">
      <c r="A294" s="223"/>
    </row>
    <row r="295" ht="25.5" customHeight="1">
      <c r="A295" s="223"/>
    </row>
    <row r="296" ht="25.5" customHeight="1">
      <c r="A296" s="223"/>
    </row>
    <row r="297" ht="25.5" customHeight="1">
      <c r="A297" s="223"/>
    </row>
    <row r="298" ht="25.5" customHeight="1">
      <c r="A298" s="223"/>
    </row>
    <row r="299" ht="25.5" customHeight="1">
      <c r="A299" s="223"/>
    </row>
    <row r="300" ht="25.5" customHeight="1">
      <c r="A300" s="223"/>
    </row>
    <row r="301" ht="25.5" customHeight="1">
      <c r="A301" s="223"/>
    </row>
    <row r="302" ht="25.5" customHeight="1">
      <c r="A302" s="223"/>
    </row>
    <row r="303" ht="25.5" customHeight="1">
      <c r="A303" s="223"/>
    </row>
    <row r="304" ht="25.5" customHeight="1">
      <c r="A304" s="223"/>
    </row>
  </sheetData>
  <sheetProtection/>
  <printOptions/>
  <pageMargins left="0.62992125984252" right="0.31496062992126" top="0.551181102362205" bottom="0.393700787401575" header="0.393700787401575" footer="0.354330708661417"/>
  <pageSetup fitToHeight="0" fitToWidth="1" horizontalDpi="600" verticalDpi="600" orientation="portrait" paperSize="9" scale="74" r:id="rId1"/>
  <rowBreaks count="1" manualBreakCount="1">
    <brk id="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workbookViewId="0" topLeftCell="A1">
      <selection activeCell="A2" sqref="A2"/>
    </sheetView>
  </sheetViews>
  <sheetFormatPr defaultColWidth="9.140625" defaultRowHeight="24" customHeight="1"/>
  <cols>
    <col min="1" max="1" width="15.57421875" style="673" customWidth="1"/>
    <col min="2" max="2" width="16.7109375" style="673" customWidth="1"/>
    <col min="3" max="3" width="1.7109375" style="673" customWidth="1"/>
    <col min="4" max="4" width="18.28125" style="673" customWidth="1"/>
    <col min="5" max="5" width="1.421875" style="673" customWidth="1"/>
    <col min="6" max="6" width="18.28125" style="673" customWidth="1"/>
    <col min="7" max="7" width="1.7109375" style="673" customWidth="1"/>
    <col min="8" max="8" width="18.28125" style="673" customWidth="1"/>
    <col min="9" max="9" width="1.7109375" style="673" customWidth="1"/>
    <col min="10" max="10" width="18.28125" style="673" customWidth="1"/>
    <col min="11" max="11" width="1.7109375" style="673" customWidth="1"/>
    <col min="12" max="12" width="18.28125" style="673" customWidth="1"/>
    <col min="13" max="13" width="1.57421875" style="673" customWidth="1"/>
    <col min="14" max="14" width="3.140625" style="673" customWidth="1"/>
    <col min="15" max="15" width="16.421875" style="673" bestFit="1" customWidth="1"/>
    <col min="16" max="16" width="9.140625" style="673" customWidth="1"/>
    <col min="17" max="17" width="16.00390625" style="673" customWidth="1"/>
    <col min="18" max="16384" width="9.140625" style="673" customWidth="1"/>
  </cols>
  <sheetData>
    <row r="1" spans="1:12" ht="32.25" customHeight="1">
      <c r="A1" s="671" t="s">
        <v>809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</row>
    <row r="2" spans="2:12" ht="24.75" customHeight="1"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</row>
    <row r="3" spans="1:12" ht="32.25" customHeight="1">
      <c r="A3" s="663" t="s">
        <v>1325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</row>
    <row r="4" spans="1:12" s="665" customFormat="1" ht="30" customHeight="1">
      <c r="A4" s="663"/>
      <c r="B4" s="664"/>
      <c r="C4" s="664"/>
      <c r="D4" s="664"/>
      <c r="E4" s="664"/>
      <c r="F4" s="664"/>
      <c r="G4" s="664"/>
      <c r="J4" s="663"/>
      <c r="K4" s="663"/>
      <c r="L4" s="674" t="s">
        <v>214</v>
      </c>
    </row>
    <row r="5" spans="1:12" s="665" customFormat="1" ht="30" customHeight="1">
      <c r="A5" s="663"/>
      <c r="B5" s="664"/>
      <c r="C5" s="664"/>
      <c r="D5" s="664"/>
      <c r="E5" s="664"/>
      <c r="F5" s="664"/>
      <c r="G5" s="664"/>
      <c r="J5" s="666"/>
      <c r="K5" s="666"/>
      <c r="L5" s="667" t="s">
        <v>1171</v>
      </c>
    </row>
    <row r="6" spans="1:12" s="665" customFormat="1" ht="30" customHeight="1">
      <c r="A6" s="663"/>
      <c r="B6" s="664"/>
      <c r="C6" s="664"/>
      <c r="D6" s="664"/>
      <c r="E6" s="664"/>
      <c r="F6" s="664"/>
      <c r="G6" s="664"/>
      <c r="J6" s="666" t="s">
        <v>1326</v>
      </c>
      <c r="K6" s="666"/>
      <c r="L6" s="667" t="s">
        <v>1172</v>
      </c>
    </row>
    <row r="7" spans="1:12" s="665" customFormat="1" ht="30" customHeight="1">
      <c r="A7" s="663"/>
      <c r="B7" s="664"/>
      <c r="C7" s="664"/>
      <c r="D7" s="664"/>
      <c r="E7" s="664"/>
      <c r="F7" s="664"/>
      <c r="G7" s="664"/>
      <c r="J7" s="666" t="s">
        <v>126</v>
      </c>
      <c r="K7" s="666"/>
      <c r="L7" s="667" t="s">
        <v>1327</v>
      </c>
    </row>
    <row r="8" spans="2:14" s="665" customFormat="1" ht="30" customHeight="1">
      <c r="B8" s="668"/>
      <c r="C8" s="668"/>
      <c r="D8" s="668"/>
      <c r="E8" s="668"/>
      <c r="F8" s="668"/>
      <c r="G8" s="668"/>
      <c r="J8" s="669"/>
      <c r="K8" s="669"/>
      <c r="L8" s="669" t="s">
        <v>126</v>
      </c>
      <c r="M8" s="670"/>
      <c r="N8" s="670"/>
    </row>
    <row r="9" spans="2:12" s="665" customFormat="1" ht="30" customHeight="1">
      <c r="B9" s="675"/>
      <c r="C9" s="675"/>
      <c r="D9" s="675"/>
      <c r="E9" s="675"/>
      <c r="F9" s="675"/>
      <c r="G9" s="675"/>
      <c r="J9" s="676" t="s">
        <v>1340</v>
      </c>
      <c r="K9" s="676"/>
      <c r="L9" s="676" t="s">
        <v>1341</v>
      </c>
    </row>
    <row r="10" spans="2:12" s="665" customFormat="1" ht="30" customHeight="1">
      <c r="B10" s="677" t="s">
        <v>660</v>
      </c>
      <c r="C10" s="678"/>
      <c r="D10" s="679"/>
      <c r="E10" s="678"/>
      <c r="F10" s="680"/>
      <c r="G10" s="679"/>
      <c r="J10" s="681">
        <v>275149410.04</v>
      </c>
      <c r="K10" s="681"/>
      <c r="L10" s="681">
        <v>300222319.04</v>
      </c>
    </row>
    <row r="11" spans="2:12" s="665" customFormat="1" ht="30" customHeight="1">
      <c r="B11" s="677" t="s">
        <v>658</v>
      </c>
      <c r="C11" s="682"/>
      <c r="D11" s="682"/>
      <c r="E11" s="682"/>
      <c r="F11" s="680"/>
      <c r="G11" s="679"/>
      <c r="J11" s="681">
        <v>271855130.78</v>
      </c>
      <c r="K11" s="681"/>
      <c r="L11" s="681">
        <v>271855130.78</v>
      </c>
    </row>
    <row r="12" spans="2:12" s="665" customFormat="1" ht="30" customHeight="1">
      <c r="B12" s="677" t="s">
        <v>659</v>
      </c>
      <c r="C12" s="682"/>
      <c r="D12" s="682"/>
      <c r="E12" s="682"/>
      <c r="F12" s="680"/>
      <c r="G12" s="679"/>
      <c r="J12" s="683">
        <v>68378924.56</v>
      </c>
      <c r="K12" s="681"/>
      <c r="L12" s="683">
        <v>68378924.56</v>
      </c>
    </row>
    <row r="13" spans="2:12" s="684" customFormat="1" ht="30" customHeight="1">
      <c r="B13" s="684" t="s">
        <v>242</v>
      </c>
      <c r="C13" s="685"/>
      <c r="D13" s="685"/>
      <c r="E13" s="686"/>
      <c r="F13" s="687"/>
      <c r="G13" s="685"/>
      <c r="H13" s="665"/>
      <c r="J13" s="688">
        <f>SUM(J10:J12)</f>
        <v>615383465.3799999</v>
      </c>
      <c r="L13" s="688">
        <f>SUM(L10:L12)</f>
        <v>640456374.3799999</v>
      </c>
    </row>
    <row r="14" spans="2:12" s="684" customFormat="1" ht="30" customHeight="1">
      <c r="B14" s="684" t="s">
        <v>781</v>
      </c>
      <c r="C14" s="685"/>
      <c r="D14" s="685"/>
      <c r="E14" s="686"/>
      <c r="F14" s="687"/>
      <c r="G14" s="685"/>
      <c r="J14" s="681">
        <v>-8939741.82</v>
      </c>
      <c r="K14" s="681"/>
      <c r="L14" s="681">
        <v>-8939741.82</v>
      </c>
    </row>
    <row r="15" spans="2:12" s="684" customFormat="1" ht="30" customHeight="1" thickBot="1">
      <c r="B15" s="684" t="s">
        <v>782</v>
      </c>
      <c r="C15" s="685"/>
      <c r="D15" s="685"/>
      <c r="E15" s="686"/>
      <c r="F15" s="687"/>
      <c r="G15" s="685"/>
      <c r="J15" s="689">
        <f>SUM(J13:J14)</f>
        <v>606443723.5599998</v>
      </c>
      <c r="L15" s="689">
        <f>SUM(L13:L14)</f>
        <v>631516632.5599998</v>
      </c>
    </row>
    <row r="16" spans="3:12" s="684" customFormat="1" ht="21" customHeight="1" thickTop="1">
      <c r="C16" s="685"/>
      <c r="D16" s="685"/>
      <c r="E16" s="686"/>
      <c r="F16" s="687"/>
      <c r="G16" s="685"/>
      <c r="J16" s="690"/>
      <c r="L16" s="691"/>
    </row>
    <row r="17" spans="1:11" ht="29.25" customHeight="1">
      <c r="A17" s="692" t="s">
        <v>1328</v>
      </c>
      <c r="B17" s="693"/>
      <c r="C17" s="693"/>
      <c r="D17" s="694"/>
      <c r="E17" s="694"/>
      <c r="F17" s="694"/>
      <c r="G17" s="694"/>
      <c r="H17" s="694"/>
      <c r="I17" s="694"/>
      <c r="J17" s="695"/>
      <c r="K17" s="695"/>
    </row>
    <row r="18" spans="1:12" ht="29.25" customHeight="1">
      <c r="A18" s="673" t="s">
        <v>1329</v>
      </c>
      <c r="B18" s="696"/>
      <c r="C18" s="696"/>
      <c r="D18" s="697"/>
      <c r="E18" s="697"/>
      <c r="F18" s="697"/>
      <c r="G18" s="697"/>
      <c r="H18" s="697"/>
      <c r="I18" s="697"/>
      <c r="J18" s="697"/>
      <c r="K18" s="697"/>
      <c r="L18" s="697"/>
    </row>
    <row r="19" spans="3:12" s="684" customFormat="1" ht="16.5" customHeight="1">
      <c r="C19" s="685"/>
      <c r="D19" s="685"/>
      <c r="E19" s="686"/>
      <c r="F19" s="687"/>
      <c r="G19" s="685"/>
      <c r="J19" s="685"/>
      <c r="L19" s="685"/>
    </row>
    <row r="20" spans="1:12" ht="32.25" customHeight="1">
      <c r="A20" s="663" t="s">
        <v>1330</v>
      </c>
      <c r="B20" s="672"/>
      <c r="C20" s="672"/>
      <c r="D20" s="672"/>
      <c r="E20" s="672"/>
      <c r="F20" s="672"/>
      <c r="G20" s="672"/>
      <c r="H20" s="672"/>
      <c r="I20" s="672"/>
      <c r="J20" s="672"/>
      <c r="K20" s="672"/>
      <c r="L20" s="672"/>
    </row>
    <row r="21" spans="1:3" ht="30" customHeight="1">
      <c r="A21" s="694" t="s">
        <v>1331</v>
      </c>
      <c r="B21" s="693"/>
      <c r="C21" s="693"/>
    </row>
    <row r="22" spans="1:12" ht="30" customHeight="1">
      <c r="A22" s="663"/>
      <c r="B22" s="664"/>
      <c r="C22" s="664"/>
      <c r="D22" s="664"/>
      <c r="E22" s="664"/>
      <c r="F22" s="664"/>
      <c r="G22" s="664"/>
      <c r="H22" s="665"/>
      <c r="I22" s="665"/>
      <c r="J22" s="665"/>
      <c r="K22" s="665"/>
      <c r="L22" s="674" t="s">
        <v>214</v>
      </c>
    </row>
    <row r="23" spans="1:12" ht="30" customHeight="1">
      <c r="A23" s="665"/>
      <c r="B23" s="698" t="s">
        <v>1332</v>
      </c>
      <c r="C23" s="698"/>
      <c r="D23" s="698"/>
      <c r="E23" s="698"/>
      <c r="F23" s="698"/>
      <c r="G23" s="699"/>
      <c r="H23" s="698" t="s">
        <v>1333</v>
      </c>
      <c r="I23" s="698"/>
      <c r="J23" s="698"/>
      <c r="K23" s="698"/>
      <c r="L23" s="698"/>
    </row>
    <row r="24" spans="1:12" ht="30" customHeight="1">
      <c r="A24" s="700"/>
      <c r="B24" s="701"/>
      <c r="C24" s="701"/>
      <c r="D24" s="702" t="s">
        <v>898</v>
      </c>
      <c r="E24" s="702"/>
      <c r="F24" s="703"/>
      <c r="G24" s="704"/>
      <c r="H24" s="701"/>
      <c r="I24" s="701"/>
      <c r="J24" s="702" t="s">
        <v>747</v>
      </c>
      <c r="K24" s="702"/>
      <c r="L24" s="703"/>
    </row>
    <row r="25" spans="1:12" ht="30" customHeight="1">
      <c r="A25" s="665"/>
      <c r="B25" s="705" t="s">
        <v>240</v>
      </c>
      <c r="C25" s="706"/>
      <c r="D25" s="705" t="s">
        <v>241</v>
      </c>
      <c r="E25" s="706"/>
      <c r="F25" s="705" t="s">
        <v>212</v>
      </c>
      <c r="G25" s="707"/>
      <c r="H25" s="705" t="s">
        <v>240</v>
      </c>
      <c r="I25" s="706"/>
      <c r="J25" s="705" t="s">
        <v>241</v>
      </c>
      <c r="K25" s="706"/>
      <c r="L25" s="705" t="s">
        <v>212</v>
      </c>
    </row>
    <row r="26" spans="1:12" ht="30" customHeight="1">
      <c r="A26" s="665" t="s">
        <v>98</v>
      </c>
      <c r="B26" s="679">
        <v>411592633.87</v>
      </c>
      <c r="C26" s="679"/>
      <c r="D26" s="679">
        <v>6982654.56</v>
      </c>
      <c r="E26" s="679"/>
      <c r="F26" s="679">
        <f aca="true" t="shared" si="0" ref="F26:F31">SUM(B26:D26)</f>
        <v>418575288.43</v>
      </c>
      <c r="G26" s="679"/>
      <c r="H26" s="679">
        <v>279042640.87</v>
      </c>
      <c r="I26" s="679"/>
      <c r="J26" s="679">
        <v>6791124.56</v>
      </c>
      <c r="K26" s="679"/>
      <c r="L26" s="679">
        <f aca="true" t="shared" si="1" ref="L26:L31">SUM(H26:J26)</f>
        <v>285833765.43</v>
      </c>
    </row>
    <row r="27" spans="1:12" ht="30" customHeight="1">
      <c r="A27" s="665" t="s">
        <v>644</v>
      </c>
      <c r="B27" s="679">
        <v>409540250</v>
      </c>
      <c r="C27" s="679"/>
      <c r="D27" s="679">
        <v>5455125.78</v>
      </c>
      <c r="E27" s="679"/>
      <c r="F27" s="679">
        <f t="shared" si="0"/>
        <v>414995375.78</v>
      </c>
      <c r="G27" s="679"/>
      <c r="H27" s="679">
        <v>307960500</v>
      </c>
      <c r="I27" s="679"/>
      <c r="J27" s="679">
        <v>5455125.78</v>
      </c>
      <c r="K27" s="679"/>
      <c r="L27" s="679">
        <f t="shared" si="1"/>
        <v>313415625.78</v>
      </c>
    </row>
    <row r="28" spans="1:12" ht="30" customHeight="1">
      <c r="A28" s="665" t="s">
        <v>97</v>
      </c>
      <c r="B28" s="679">
        <v>64565160.44</v>
      </c>
      <c r="C28" s="679"/>
      <c r="D28" s="679">
        <v>12641516.27</v>
      </c>
      <c r="E28" s="679"/>
      <c r="F28" s="679">
        <f t="shared" si="0"/>
        <v>77206676.71</v>
      </c>
      <c r="G28" s="679"/>
      <c r="H28" s="679">
        <v>64565160.44</v>
      </c>
      <c r="I28" s="679"/>
      <c r="J28" s="679">
        <v>12641516.27</v>
      </c>
      <c r="K28" s="679"/>
      <c r="L28" s="679">
        <f t="shared" si="1"/>
        <v>77206676.71</v>
      </c>
    </row>
    <row r="29" spans="1:12" ht="30" customHeight="1">
      <c r="A29" s="665" t="s">
        <v>99</v>
      </c>
      <c r="B29" s="679">
        <v>4028000</v>
      </c>
      <c r="C29" s="679"/>
      <c r="D29" s="679">
        <v>0</v>
      </c>
      <c r="E29" s="679"/>
      <c r="F29" s="679">
        <f t="shared" si="0"/>
        <v>4028000</v>
      </c>
      <c r="G29" s="679"/>
      <c r="H29" s="679">
        <v>4028000</v>
      </c>
      <c r="I29" s="679"/>
      <c r="J29" s="679">
        <v>0</v>
      </c>
      <c r="K29" s="679"/>
      <c r="L29" s="679">
        <f t="shared" si="1"/>
        <v>4028000</v>
      </c>
    </row>
    <row r="30" spans="1:12" ht="30" customHeight="1">
      <c r="A30" s="665" t="s">
        <v>100</v>
      </c>
      <c r="B30" s="679">
        <v>2825500</v>
      </c>
      <c r="C30" s="679"/>
      <c r="D30" s="679">
        <v>0</v>
      </c>
      <c r="E30" s="679"/>
      <c r="F30" s="679">
        <f t="shared" si="0"/>
        <v>2825500</v>
      </c>
      <c r="G30" s="679"/>
      <c r="H30" s="679">
        <v>2825500</v>
      </c>
      <c r="I30" s="679"/>
      <c r="J30" s="679">
        <v>0</v>
      </c>
      <c r="K30" s="679"/>
      <c r="L30" s="679">
        <f t="shared" si="1"/>
        <v>2825500</v>
      </c>
    </row>
    <row r="31" spans="1:12" ht="30" customHeight="1">
      <c r="A31" s="665" t="s">
        <v>1334</v>
      </c>
      <c r="B31" s="679">
        <v>24410219</v>
      </c>
      <c r="C31" s="679"/>
      <c r="D31" s="679">
        <v>0</v>
      </c>
      <c r="E31" s="679"/>
      <c r="F31" s="679">
        <f t="shared" si="0"/>
        <v>24410219</v>
      </c>
      <c r="G31" s="679"/>
      <c r="H31" s="679">
        <v>0</v>
      </c>
      <c r="I31" s="679"/>
      <c r="J31" s="679">
        <v>0</v>
      </c>
      <c r="K31" s="679"/>
      <c r="L31" s="679">
        <f t="shared" si="1"/>
        <v>0</v>
      </c>
    </row>
    <row r="32" spans="1:12" ht="30" customHeight="1" thickBot="1">
      <c r="A32" s="665" t="s">
        <v>242</v>
      </c>
      <c r="B32" s="708">
        <f>SUM(B26:B31)</f>
        <v>916961763.31</v>
      </c>
      <c r="C32" s="709"/>
      <c r="D32" s="708">
        <f>SUM(D26:D31)</f>
        <v>25079296.61</v>
      </c>
      <c r="E32" s="709"/>
      <c r="F32" s="708">
        <f>SUM(F26:F31)</f>
        <v>942041059.9200001</v>
      </c>
      <c r="G32" s="679"/>
      <c r="H32" s="708">
        <f>SUM(H26:H31)</f>
        <v>658421801.31</v>
      </c>
      <c r="I32" s="709"/>
      <c r="J32" s="708">
        <f>SUM(J26:J31)</f>
        <v>24887766.61</v>
      </c>
      <c r="K32" s="709"/>
      <c r="L32" s="708">
        <f>SUM(L26:L31)</f>
        <v>683309567.9200001</v>
      </c>
    </row>
    <row r="33" spans="1:11" ht="17.25" customHeight="1" thickTop="1">
      <c r="A33" s="692"/>
      <c r="B33" s="693"/>
      <c r="C33" s="693"/>
      <c r="D33" s="694"/>
      <c r="E33" s="694"/>
      <c r="F33" s="694"/>
      <c r="G33" s="694"/>
      <c r="H33" s="694"/>
      <c r="I33" s="694"/>
      <c r="J33" s="695"/>
      <c r="K33" s="695"/>
    </row>
    <row r="34" spans="1:11" ht="30" customHeight="1">
      <c r="A34" s="692" t="s">
        <v>1344</v>
      </c>
      <c r="B34" s="693"/>
      <c r="C34" s="693"/>
      <c r="D34" s="694"/>
      <c r="E34" s="694"/>
      <c r="F34" s="694"/>
      <c r="G34" s="694"/>
      <c r="H34" s="694"/>
      <c r="I34" s="694"/>
      <c r="J34" s="695"/>
      <c r="K34" s="695"/>
    </row>
    <row r="35" spans="1:11" ht="30" customHeight="1">
      <c r="A35" s="692" t="s">
        <v>1342</v>
      </c>
      <c r="B35" s="693"/>
      <c r="C35" s="693"/>
      <c r="D35" s="694"/>
      <c r="E35" s="694"/>
      <c r="F35" s="694"/>
      <c r="G35" s="694"/>
      <c r="H35" s="694"/>
      <c r="I35" s="694"/>
      <c r="J35" s="695"/>
      <c r="K35" s="695"/>
    </row>
    <row r="36" spans="1:11" ht="24" customHeight="1">
      <c r="A36" s="692"/>
      <c r="B36" s="693"/>
      <c r="C36" s="693"/>
      <c r="D36" s="694"/>
      <c r="E36" s="694"/>
      <c r="F36" s="694"/>
      <c r="G36" s="694"/>
      <c r="H36" s="694"/>
      <c r="I36" s="694"/>
      <c r="J36" s="695"/>
      <c r="K36" s="695"/>
    </row>
    <row r="37" spans="1:12" ht="29.25" customHeight="1">
      <c r="A37" s="710" t="s">
        <v>1335</v>
      </c>
      <c r="B37" s="710"/>
      <c r="C37" s="710"/>
      <c r="D37" s="711"/>
      <c r="E37" s="711"/>
      <c r="F37" s="711"/>
      <c r="G37" s="711"/>
      <c r="H37" s="711"/>
      <c r="I37" s="711"/>
      <c r="J37" s="711"/>
      <c r="K37" s="711"/>
      <c r="L37" s="711"/>
    </row>
    <row r="38" spans="1:12" ht="29.25" customHeight="1">
      <c r="A38" s="671" t="s">
        <v>848</v>
      </c>
      <c r="B38" s="672"/>
      <c r="C38" s="672"/>
      <c r="D38" s="672"/>
      <c r="E38" s="672"/>
      <c r="F38" s="672"/>
      <c r="G38" s="672"/>
      <c r="H38" s="672"/>
      <c r="I38" s="672"/>
      <c r="J38" s="672"/>
      <c r="K38" s="672"/>
      <c r="L38" s="672"/>
    </row>
    <row r="39" spans="1:12" ht="29.25" customHeight="1">
      <c r="A39" s="671"/>
      <c r="B39" s="672"/>
      <c r="C39" s="672"/>
      <c r="D39" s="672"/>
      <c r="E39" s="672"/>
      <c r="F39" s="672"/>
      <c r="G39" s="672"/>
      <c r="H39" s="672"/>
      <c r="I39" s="672"/>
      <c r="J39" s="672"/>
      <c r="K39" s="672"/>
      <c r="L39" s="672"/>
    </row>
    <row r="40" spans="1:12" ht="29.25" customHeight="1">
      <c r="A40" s="712" t="s">
        <v>1336</v>
      </c>
      <c r="B40" s="672"/>
      <c r="C40" s="672"/>
      <c r="D40" s="672"/>
      <c r="E40" s="672"/>
      <c r="F40" s="672"/>
      <c r="G40" s="672"/>
      <c r="H40" s="672"/>
      <c r="I40" s="672"/>
      <c r="J40" s="672"/>
      <c r="K40" s="672"/>
      <c r="L40" s="672"/>
    </row>
    <row r="41" spans="1:11" ht="29.25" customHeight="1">
      <c r="A41" s="694" t="s">
        <v>1337</v>
      </c>
      <c r="B41" s="693"/>
      <c r="C41" s="693"/>
      <c r="D41" s="693"/>
      <c r="E41" s="693"/>
      <c r="F41" s="693"/>
      <c r="G41" s="693"/>
      <c r="H41" s="693"/>
      <c r="I41" s="693"/>
      <c r="J41" s="693"/>
      <c r="K41" s="693"/>
    </row>
    <row r="42" spans="1:12" ht="29.25" customHeight="1">
      <c r="A42" s="694"/>
      <c r="B42" s="693"/>
      <c r="C42" s="693"/>
      <c r="D42" s="693"/>
      <c r="E42" s="693"/>
      <c r="F42" s="713"/>
      <c r="G42" s="713"/>
      <c r="H42" s="713"/>
      <c r="I42" s="713"/>
      <c r="J42" s="713"/>
      <c r="K42" s="713"/>
      <c r="L42" s="674" t="s">
        <v>214</v>
      </c>
    </row>
    <row r="43" spans="1:12" ht="29.25" customHeight="1">
      <c r="A43" s="693"/>
      <c r="B43" s="693"/>
      <c r="C43" s="693"/>
      <c r="F43" s="714" t="s">
        <v>1332</v>
      </c>
      <c r="G43" s="715"/>
      <c r="H43" s="715"/>
      <c r="I43" s="715"/>
      <c r="J43" s="715"/>
      <c r="K43" s="716"/>
      <c r="L43" s="717"/>
    </row>
    <row r="44" spans="1:12" ht="29.25" customHeight="1">
      <c r="A44" s="718"/>
      <c r="B44" s="718"/>
      <c r="C44" s="718"/>
      <c r="F44" s="719" t="s">
        <v>240</v>
      </c>
      <c r="G44" s="720"/>
      <c r="H44" s="719" t="s">
        <v>620</v>
      </c>
      <c r="I44" s="720"/>
      <c r="J44" s="719" t="s">
        <v>245</v>
      </c>
      <c r="K44" s="721"/>
      <c r="L44" s="721" t="s">
        <v>212</v>
      </c>
    </row>
    <row r="45" spans="1:12" ht="29.25" customHeight="1">
      <c r="A45" s="718"/>
      <c r="B45" s="718"/>
      <c r="C45" s="718"/>
      <c r="F45" s="722" t="s">
        <v>104</v>
      </c>
      <c r="G45" s="722"/>
      <c r="H45" s="722"/>
      <c r="I45" s="723"/>
      <c r="J45" s="722" t="s">
        <v>247</v>
      </c>
      <c r="K45" s="722"/>
      <c r="L45" s="722"/>
    </row>
    <row r="46" spans="1:12" ht="29.25" customHeight="1">
      <c r="A46" s="693" t="s">
        <v>248</v>
      </c>
      <c r="B46" s="693"/>
      <c r="C46" s="693"/>
      <c r="F46" s="724"/>
      <c r="G46" s="724"/>
      <c r="H46" s="724"/>
      <c r="I46" s="724"/>
      <c r="J46" s="724"/>
      <c r="K46" s="724"/>
      <c r="L46" s="693"/>
    </row>
    <row r="47" spans="1:12" ht="29.25" customHeight="1">
      <c r="A47" s="725" t="s">
        <v>783</v>
      </c>
      <c r="B47" s="693"/>
      <c r="C47" s="693"/>
      <c r="F47" s="726">
        <v>1204965607.76</v>
      </c>
      <c r="G47" s="726"/>
      <c r="H47" s="726">
        <v>1274969332.8200002</v>
      </c>
      <c r="I47" s="726"/>
      <c r="J47" s="726">
        <v>3543300.000000057</v>
      </c>
      <c r="K47" s="726"/>
      <c r="L47" s="726">
        <f>SUM(F47:J47)</f>
        <v>2483478240.58</v>
      </c>
    </row>
    <row r="48" spans="1:12" ht="29.25" customHeight="1">
      <c r="A48" s="693" t="s">
        <v>249</v>
      </c>
      <c r="B48" s="693"/>
      <c r="C48" s="693"/>
      <c r="F48" s="726">
        <v>5052964</v>
      </c>
      <c r="G48" s="726"/>
      <c r="H48" s="726">
        <v>5940035.58</v>
      </c>
      <c r="I48" s="726"/>
      <c r="J48" s="726">
        <v>74072925.47</v>
      </c>
      <c r="K48" s="726"/>
      <c r="L48" s="726">
        <f>SUM(F48:J48)</f>
        <v>85065925.05</v>
      </c>
    </row>
    <row r="49" spans="1:12" ht="29.25" customHeight="1">
      <c r="A49" s="727" t="s">
        <v>374</v>
      </c>
      <c r="B49" s="727"/>
      <c r="C49" s="727"/>
      <c r="F49" s="726">
        <v>-2441247.17</v>
      </c>
      <c r="G49" s="726"/>
      <c r="H49" s="726">
        <v>60258791.88</v>
      </c>
      <c r="I49" s="726"/>
      <c r="J49" s="726">
        <v>-77130109.86</v>
      </c>
      <c r="K49" s="726"/>
      <c r="L49" s="726">
        <f>SUM(F49:J49)</f>
        <v>-19312565.15</v>
      </c>
    </row>
    <row r="50" spans="1:12" ht="29.25" customHeight="1">
      <c r="A50" s="693" t="s">
        <v>388</v>
      </c>
      <c r="B50" s="693"/>
      <c r="C50" s="693"/>
      <c r="F50" s="726">
        <v>-1954891.34</v>
      </c>
      <c r="G50" s="726"/>
      <c r="H50" s="726">
        <v>0</v>
      </c>
      <c r="I50" s="726"/>
      <c r="J50" s="726">
        <v>-23000</v>
      </c>
      <c r="K50" s="726"/>
      <c r="L50" s="726">
        <f>SUM(F50:J50)</f>
        <v>-1977891.34</v>
      </c>
    </row>
    <row r="51" spans="1:12" ht="29.25" customHeight="1">
      <c r="A51" s="725" t="s">
        <v>1338</v>
      </c>
      <c r="B51" s="693"/>
      <c r="C51" s="693"/>
      <c r="F51" s="728">
        <f>SUM(F47:F50)</f>
        <v>1205622433.25</v>
      </c>
      <c r="G51" s="726"/>
      <c r="H51" s="728">
        <f>SUM(H47:H50)</f>
        <v>1341168160.2800002</v>
      </c>
      <c r="I51" s="726"/>
      <c r="J51" s="728">
        <f>SUM(J47:J50)</f>
        <v>463115.610000059</v>
      </c>
      <c r="K51" s="726"/>
      <c r="L51" s="728">
        <f>SUM(L47:L50)</f>
        <v>2547253709.14</v>
      </c>
    </row>
    <row r="52" spans="1:12" ht="29.25" customHeight="1">
      <c r="A52" s="693" t="s">
        <v>251</v>
      </c>
      <c r="B52" s="693"/>
      <c r="C52" s="693"/>
      <c r="F52" s="729"/>
      <c r="G52" s="730"/>
      <c r="H52" s="729"/>
      <c r="I52" s="730"/>
      <c r="J52" s="729"/>
      <c r="K52" s="730"/>
      <c r="L52" s="731"/>
    </row>
    <row r="53" spans="1:12" ht="29.25" customHeight="1">
      <c r="A53" s="725" t="s">
        <v>783</v>
      </c>
      <c r="B53" s="693"/>
      <c r="C53" s="693"/>
      <c r="F53" s="726">
        <v>0</v>
      </c>
      <c r="G53" s="726"/>
      <c r="H53" s="726">
        <v>322688573.44</v>
      </c>
      <c r="I53" s="726"/>
      <c r="J53" s="726">
        <v>0</v>
      </c>
      <c r="K53" s="726"/>
      <c r="L53" s="726">
        <f>SUM(F53:J53)</f>
        <v>322688573.44</v>
      </c>
    </row>
    <row r="54" spans="1:12" ht="29.25" customHeight="1">
      <c r="A54" s="693" t="s">
        <v>558</v>
      </c>
      <c r="B54" s="693"/>
      <c r="C54" s="693"/>
      <c r="F54" s="726">
        <v>0</v>
      </c>
      <c r="G54" s="726"/>
      <c r="H54" s="726">
        <v>60389041.23</v>
      </c>
      <c r="I54" s="726"/>
      <c r="J54" s="726">
        <v>0</v>
      </c>
      <c r="K54" s="726"/>
      <c r="L54" s="726">
        <f>SUM(F54:J54)</f>
        <v>60389041.23</v>
      </c>
    </row>
    <row r="55" spans="1:12" ht="29.25" customHeight="1">
      <c r="A55" s="693" t="s">
        <v>388</v>
      </c>
      <c r="B55" s="693"/>
      <c r="C55" s="693"/>
      <c r="F55" s="726">
        <v>0</v>
      </c>
      <c r="G55" s="726"/>
      <c r="H55" s="726">
        <v>0</v>
      </c>
      <c r="I55" s="726"/>
      <c r="J55" s="726">
        <v>0</v>
      </c>
      <c r="K55" s="726"/>
      <c r="L55" s="726">
        <f>SUM(F55:J55)</f>
        <v>0</v>
      </c>
    </row>
    <row r="56" spans="1:12" ht="29.25" customHeight="1">
      <c r="A56" s="725" t="s">
        <v>1338</v>
      </c>
      <c r="B56" s="693"/>
      <c r="C56" s="693"/>
      <c r="D56" s="732"/>
      <c r="E56" s="732"/>
      <c r="F56" s="733">
        <f>SUM(F53:F55)</f>
        <v>0</v>
      </c>
      <c r="G56" s="726"/>
      <c r="H56" s="733">
        <f>SUM(H53:H55)</f>
        <v>383077614.67</v>
      </c>
      <c r="I56" s="726"/>
      <c r="J56" s="733">
        <f>SUM(J53:J55)</f>
        <v>0</v>
      </c>
      <c r="K56" s="726"/>
      <c r="L56" s="733">
        <f>SUM(L53:L55)</f>
        <v>383077614.67</v>
      </c>
    </row>
    <row r="57" spans="1:12" ht="29.25" customHeight="1">
      <c r="A57" s="693" t="s">
        <v>254</v>
      </c>
      <c r="B57" s="693"/>
      <c r="C57" s="693"/>
      <c r="F57" s="734"/>
      <c r="G57" s="734"/>
      <c r="H57" s="734"/>
      <c r="I57" s="734"/>
      <c r="J57" s="734"/>
      <c r="K57" s="734"/>
      <c r="L57" s="695"/>
    </row>
    <row r="58" spans="1:12" ht="29.25" customHeight="1">
      <c r="A58" s="725" t="s">
        <v>783</v>
      </c>
      <c r="B58" s="693"/>
      <c r="C58" s="693"/>
      <c r="F58" s="726">
        <v>65125234.55</v>
      </c>
      <c r="G58" s="726"/>
      <c r="H58" s="726">
        <v>0</v>
      </c>
      <c r="I58" s="726"/>
      <c r="J58" s="726">
        <v>0</v>
      </c>
      <c r="K58" s="726"/>
      <c r="L58" s="726">
        <f>SUM(F58:J58)</f>
        <v>65125234.55</v>
      </c>
    </row>
    <row r="59" spans="1:12" ht="29.25" customHeight="1">
      <c r="A59" s="693" t="s">
        <v>255</v>
      </c>
      <c r="B59" s="693"/>
      <c r="C59" s="693"/>
      <c r="F59" s="726">
        <v>0</v>
      </c>
      <c r="G59" s="726"/>
      <c r="H59" s="726">
        <v>0</v>
      </c>
      <c r="I59" s="726"/>
      <c r="J59" s="726">
        <v>0</v>
      </c>
      <c r="K59" s="726"/>
      <c r="L59" s="726">
        <f>SUM(F59:J59)</f>
        <v>0</v>
      </c>
    </row>
    <row r="60" spans="1:12" ht="29.25" customHeight="1">
      <c r="A60" s="725" t="s">
        <v>1338</v>
      </c>
      <c r="B60" s="693"/>
      <c r="C60" s="693"/>
      <c r="F60" s="728">
        <f>SUM(F58:F59)</f>
        <v>65125234.55</v>
      </c>
      <c r="G60" s="730"/>
      <c r="H60" s="728">
        <f>SUM(H58:H59)</f>
        <v>0</v>
      </c>
      <c r="I60" s="730"/>
      <c r="J60" s="728">
        <f>SUM(J58:J59)</f>
        <v>0</v>
      </c>
      <c r="K60" s="730"/>
      <c r="L60" s="728">
        <f>SUM(L58:L59)</f>
        <v>65125234.55</v>
      </c>
    </row>
    <row r="61" spans="1:12" ht="29.25" customHeight="1">
      <c r="A61" s="693" t="s">
        <v>256</v>
      </c>
      <c r="B61" s="693"/>
      <c r="C61" s="693"/>
      <c r="F61" s="734"/>
      <c r="G61" s="734"/>
      <c r="H61" s="734"/>
      <c r="I61" s="734"/>
      <c r="J61" s="734"/>
      <c r="K61" s="734"/>
      <c r="L61" s="695"/>
    </row>
    <row r="62" spans="1:12" ht="29.25" customHeight="1" thickBot="1">
      <c r="A62" s="725" t="s">
        <v>783</v>
      </c>
      <c r="B62" s="693"/>
      <c r="C62" s="693"/>
      <c r="D62" s="762"/>
      <c r="F62" s="735">
        <f>SUM(F47-F53-F58)</f>
        <v>1139840373.21</v>
      </c>
      <c r="G62" s="730"/>
      <c r="H62" s="735">
        <f>SUM(H47-H53-H58)</f>
        <v>952280759.3800001</v>
      </c>
      <c r="I62" s="730"/>
      <c r="J62" s="735">
        <f>SUM(J47-J53-J58)</f>
        <v>3543300.000000057</v>
      </c>
      <c r="K62" s="730"/>
      <c r="L62" s="735">
        <f>SUM(L47-L53-L58)</f>
        <v>2095664432.59</v>
      </c>
    </row>
    <row r="63" spans="1:12" ht="29.25" customHeight="1" thickBot="1" thickTop="1">
      <c r="A63" s="725" t="s">
        <v>1338</v>
      </c>
      <c r="B63" s="693"/>
      <c r="C63" s="693"/>
      <c r="F63" s="735">
        <f>F51-F56-F60</f>
        <v>1140497198.7</v>
      </c>
      <c r="G63" s="730"/>
      <c r="H63" s="735">
        <f>H51-H56-H60</f>
        <v>958090545.6100001</v>
      </c>
      <c r="I63" s="730"/>
      <c r="J63" s="735">
        <f>J51-J56-J60</f>
        <v>463115.610000059</v>
      </c>
      <c r="K63" s="730"/>
      <c r="L63" s="735">
        <f>L51-L56-L60</f>
        <v>2099050859.9199998</v>
      </c>
    </row>
    <row r="64" spans="1:12" ht="29.25" customHeight="1" thickTop="1">
      <c r="A64" s="693"/>
      <c r="B64" s="693"/>
      <c r="C64" s="693"/>
      <c r="F64" s="730"/>
      <c r="G64" s="730"/>
      <c r="H64" s="730"/>
      <c r="I64" s="730"/>
      <c r="J64" s="730"/>
      <c r="K64" s="730"/>
      <c r="L64" s="730"/>
    </row>
    <row r="65" spans="1:11" ht="29.25" customHeight="1">
      <c r="A65" s="250" t="s">
        <v>1343</v>
      </c>
      <c r="B65" s="693"/>
      <c r="C65" s="693"/>
      <c r="D65" s="694"/>
      <c r="E65" s="694"/>
      <c r="F65" s="694"/>
      <c r="G65" s="694"/>
      <c r="H65" s="694"/>
      <c r="I65" s="694"/>
      <c r="J65" s="695"/>
      <c r="K65" s="695"/>
    </row>
    <row r="66" spans="1:11" ht="29.25" customHeight="1">
      <c r="A66" s="692" t="s">
        <v>1346</v>
      </c>
      <c r="B66" s="693"/>
      <c r="C66" s="693"/>
      <c r="D66" s="694"/>
      <c r="E66" s="694"/>
      <c r="F66" s="694"/>
      <c r="G66" s="694"/>
      <c r="H66" s="694"/>
      <c r="I66" s="694"/>
      <c r="J66" s="695"/>
      <c r="K66" s="695"/>
    </row>
    <row r="67" spans="1:11" ht="29.25" customHeight="1">
      <c r="A67" s="692" t="s">
        <v>1345</v>
      </c>
      <c r="B67" s="693"/>
      <c r="C67" s="693"/>
      <c r="D67" s="694"/>
      <c r="E67" s="694"/>
      <c r="F67" s="694"/>
      <c r="G67" s="694"/>
      <c r="H67" s="694"/>
      <c r="I67" s="694"/>
      <c r="J67" s="695"/>
      <c r="K67" s="695"/>
    </row>
    <row r="68" spans="1:11" ht="29.25" customHeight="1">
      <c r="A68" s="692" t="s">
        <v>1348</v>
      </c>
      <c r="B68" s="693"/>
      <c r="C68" s="693"/>
      <c r="D68" s="694"/>
      <c r="E68" s="694"/>
      <c r="F68" s="694"/>
      <c r="G68" s="694"/>
      <c r="H68" s="694"/>
      <c r="I68" s="694"/>
      <c r="J68" s="695"/>
      <c r="K68" s="695"/>
    </row>
    <row r="69" spans="1:12" ht="29.25" customHeight="1">
      <c r="A69" s="673" t="s">
        <v>1347</v>
      </c>
      <c r="B69" s="696"/>
      <c r="C69" s="696"/>
      <c r="D69" s="697"/>
      <c r="E69" s="697"/>
      <c r="F69" s="697"/>
      <c r="G69" s="697"/>
      <c r="H69" s="697"/>
      <c r="I69" s="697"/>
      <c r="J69" s="697"/>
      <c r="K69" s="697"/>
      <c r="L69" s="697"/>
    </row>
    <row r="70" spans="2:12" ht="29.25" customHeight="1">
      <c r="B70" s="696"/>
      <c r="C70" s="696"/>
      <c r="D70" s="697"/>
      <c r="E70" s="697"/>
      <c r="F70" s="697"/>
      <c r="G70" s="697"/>
      <c r="H70" s="697"/>
      <c r="I70" s="697"/>
      <c r="J70" s="697"/>
      <c r="K70" s="697"/>
      <c r="L70" s="697"/>
    </row>
    <row r="71" spans="2:12" ht="29.25" customHeight="1">
      <c r="B71" s="696"/>
      <c r="C71" s="696"/>
      <c r="D71" s="697"/>
      <c r="E71" s="697"/>
      <c r="F71" s="697"/>
      <c r="G71" s="697"/>
      <c r="H71" s="697"/>
      <c r="I71" s="697"/>
      <c r="J71" s="697"/>
      <c r="K71" s="697"/>
      <c r="L71" s="697"/>
    </row>
    <row r="72" spans="2:12" ht="29.25" customHeight="1">
      <c r="B72" s="696"/>
      <c r="C72" s="696"/>
      <c r="D72" s="697"/>
      <c r="E72" s="697"/>
      <c r="F72" s="697"/>
      <c r="G72" s="697"/>
      <c r="H72" s="697"/>
      <c r="I72" s="697"/>
      <c r="J72" s="697"/>
      <c r="K72" s="697"/>
      <c r="L72" s="697"/>
    </row>
    <row r="73" spans="1:12" ht="29.25" customHeight="1">
      <c r="A73" s="710" t="s">
        <v>1335</v>
      </c>
      <c r="B73" s="710"/>
      <c r="C73" s="710"/>
      <c r="D73" s="711"/>
      <c r="E73" s="711"/>
      <c r="F73" s="711"/>
      <c r="G73" s="711"/>
      <c r="H73" s="711"/>
      <c r="I73" s="711"/>
      <c r="J73" s="711"/>
      <c r="K73" s="711"/>
      <c r="L73" s="711"/>
    </row>
    <row r="74" spans="1:12" ht="25.5" customHeight="1">
      <c r="A74" s="671" t="s">
        <v>1317</v>
      </c>
      <c r="B74" s="672"/>
      <c r="C74" s="672"/>
      <c r="D74" s="672"/>
      <c r="E74" s="672"/>
      <c r="F74" s="672"/>
      <c r="G74" s="672"/>
      <c r="H74" s="672"/>
      <c r="I74" s="672"/>
      <c r="J74" s="672"/>
      <c r="K74" s="672"/>
      <c r="L74" s="672"/>
    </row>
    <row r="75" spans="2:12" ht="25.5" customHeight="1">
      <c r="B75" s="696"/>
      <c r="C75" s="696"/>
      <c r="D75" s="697"/>
      <c r="E75" s="697"/>
      <c r="F75" s="697"/>
      <c r="G75" s="697"/>
      <c r="H75" s="697"/>
      <c r="I75" s="697"/>
      <c r="J75" s="697"/>
      <c r="K75" s="697"/>
      <c r="L75" s="697"/>
    </row>
    <row r="76" spans="1:12" ht="25.5" customHeight="1">
      <c r="A76" s="712" t="s">
        <v>1336</v>
      </c>
      <c r="B76" s="736"/>
      <c r="C76" s="736"/>
      <c r="D76" s="737"/>
      <c r="E76" s="737"/>
      <c r="F76" s="737"/>
      <c r="G76" s="737"/>
      <c r="H76" s="737"/>
      <c r="I76" s="737"/>
      <c r="J76" s="738"/>
      <c r="K76" s="738"/>
      <c r="L76" s="739"/>
    </row>
    <row r="77" spans="1:12" ht="25.5" customHeight="1">
      <c r="A77" s="712"/>
      <c r="B77" s="736"/>
      <c r="C77" s="736"/>
      <c r="D77" s="737"/>
      <c r="E77" s="737"/>
      <c r="F77" s="737"/>
      <c r="G77" s="737"/>
      <c r="H77" s="737"/>
      <c r="I77" s="737"/>
      <c r="J77" s="740"/>
      <c r="K77" s="740"/>
      <c r="L77" s="674" t="s">
        <v>214</v>
      </c>
    </row>
    <row r="78" spans="1:12" ht="25.5" customHeight="1">
      <c r="A78" s="712"/>
      <c r="B78" s="736"/>
      <c r="C78" s="736"/>
      <c r="D78" s="737"/>
      <c r="E78" s="737"/>
      <c r="F78" s="737"/>
      <c r="G78" s="737"/>
      <c r="H78" s="737"/>
      <c r="I78" s="737"/>
      <c r="J78" s="666"/>
      <c r="K78" s="666"/>
      <c r="L78" s="667" t="s">
        <v>1171</v>
      </c>
    </row>
    <row r="79" spans="1:12" ht="25.5" customHeight="1">
      <c r="A79" s="712"/>
      <c r="B79" s="736"/>
      <c r="C79" s="736"/>
      <c r="D79" s="737"/>
      <c r="E79" s="737"/>
      <c r="F79" s="737"/>
      <c r="G79" s="737"/>
      <c r="H79" s="737"/>
      <c r="I79" s="737"/>
      <c r="J79" s="666" t="s">
        <v>1326</v>
      </c>
      <c r="K79" s="666"/>
      <c r="L79" s="667" t="s">
        <v>1172</v>
      </c>
    </row>
    <row r="80" spans="1:12" ht="25.5" customHeight="1">
      <c r="A80" s="712"/>
      <c r="B80" s="736"/>
      <c r="C80" s="736"/>
      <c r="D80" s="737"/>
      <c r="E80" s="737"/>
      <c r="F80" s="737"/>
      <c r="G80" s="737"/>
      <c r="H80" s="737"/>
      <c r="I80" s="737"/>
      <c r="J80" s="666" t="s">
        <v>126</v>
      </c>
      <c r="K80" s="666"/>
      <c r="L80" s="667" t="s">
        <v>1327</v>
      </c>
    </row>
    <row r="81" spans="1:12" ht="25.5" customHeight="1">
      <c r="A81" s="712"/>
      <c r="B81" s="736"/>
      <c r="C81" s="736"/>
      <c r="D81" s="737"/>
      <c r="E81" s="737"/>
      <c r="F81" s="737"/>
      <c r="G81" s="737"/>
      <c r="H81" s="737"/>
      <c r="I81" s="737"/>
      <c r="J81" s="669"/>
      <c r="K81" s="669"/>
      <c r="L81" s="669" t="s">
        <v>126</v>
      </c>
    </row>
    <row r="82" spans="1:12" ht="25.5" customHeight="1">
      <c r="A82" s="736"/>
      <c r="B82" s="736"/>
      <c r="C82" s="736"/>
      <c r="D82" s="737"/>
      <c r="E82" s="737"/>
      <c r="F82" s="737"/>
      <c r="G82" s="737"/>
      <c r="H82" s="737"/>
      <c r="I82" s="737"/>
      <c r="J82" s="676" t="s">
        <v>1340</v>
      </c>
      <c r="K82" s="676"/>
      <c r="L82" s="676" t="s">
        <v>1341</v>
      </c>
    </row>
    <row r="83" spans="1:12" ht="25.5" customHeight="1">
      <c r="A83" s="736"/>
      <c r="B83" s="736" t="s">
        <v>101</v>
      </c>
      <c r="C83" s="736"/>
      <c r="D83" s="737"/>
      <c r="E83" s="737"/>
      <c r="F83" s="737"/>
      <c r="G83" s="737"/>
      <c r="H83" s="737"/>
      <c r="I83" s="737"/>
      <c r="J83" s="726">
        <f>F32</f>
        <v>942041059.9200001</v>
      </c>
      <c r="K83" s="682"/>
      <c r="L83" s="741">
        <f>L32</f>
        <v>683309567.9200001</v>
      </c>
    </row>
    <row r="84" spans="1:12" ht="25.5" customHeight="1">
      <c r="A84" s="736"/>
      <c r="B84" s="736" t="s">
        <v>102</v>
      </c>
      <c r="C84" s="736"/>
      <c r="D84" s="737"/>
      <c r="E84" s="737"/>
      <c r="F84" s="737"/>
      <c r="G84" s="737"/>
      <c r="H84" s="737"/>
      <c r="I84" s="737"/>
      <c r="J84" s="742">
        <f>L63</f>
        <v>2099050859.9199998</v>
      </c>
      <c r="K84" s="737"/>
      <c r="L84" s="742">
        <f>L62</f>
        <v>2095664432.59</v>
      </c>
    </row>
    <row r="85" spans="1:12" ht="25.5" customHeight="1" thickBot="1">
      <c r="A85" s="736"/>
      <c r="B85" s="736" t="s">
        <v>103</v>
      </c>
      <c r="C85" s="736"/>
      <c r="D85" s="737"/>
      <c r="E85" s="737"/>
      <c r="F85" s="737"/>
      <c r="G85" s="737"/>
      <c r="H85" s="737"/>
      <c r="I85" s="737"/>
      <c r="J85" s="735">
        <f>SUM(J83:J84)</f>
        <v>3041091919.84</v>
      </c>
      <c r="K85" s="737"/>
      <c r="L85" s="735">
        <f>SUM(L83:L84)</f>
        <v>2778974000.51</v>
      </c>
    </row>
    <row r="86" spans="1:12" ht="25.5" customHeight="1" thickTop="1">
      <c r="A86" s="696"/>
      <c r="B86" s="696"/>
      <c r="C86" s="696"/>
      <c r="D86" s="697"/>
      <c r="E86" s="697"/>
      <c r="F86" s="697"/>
      <c r="G86" s="697"/>
      <c r="H86" s="697"/>
      <c r="I86" s="697"/>
      <c r="J86" s="737"/>
      <c r="K86" s="697"/>
      <c r="L86" s="697"/>
    </row>
    <row r="87" spans="1:12" ht="25.5" customHeight="1">
      <c r="A87" s="684" t="s">
        <v>1350</v>
      </c>
      <c r="B87" s="684"/>
      <c r="C87" s="684"/>
      <c r="D87" s="665"/>
      <c r="E87" s="665"/>
      <c r="F87" s="684"/>
      <c r="G87" s="684"/>
      <c r="H87" s="684"/>
      <c r="I87" s="684"/>
      <c r="J87" s="684"/>
      <c r="K87" s="684"/>
      <c r="L87" s="684"/>
    </row>
    <row r="88" spans="1:12" ht="25.5" customHeight="1">
      <c r="A88" s="684" t="s">
        <v>1349</v>
      </c>
      <c r="B88" s="684"/>
      <c r="C88" s="684"/>
      <c r="D88" s="684"/>
      <c r="E88" s="684"/>
      <c r="F88" s="684"/>
      <c r="G88" s="684"/>
      <c r="H88" s="684"/>
      <c r="I88" s="684"/>
      <c r="J88" s="684"/>
      <c r="K88" s="684"/>
      <c r="L88" s="684"/>
    </row>
    <row r="89" spans="1:12" ht="25.5" customHeight="1">
      <c r="A89" s="684"/>
      <c r="B89" s="684"/>
      <c r="C89" s="684"/>
      <c r="D89" s="684"/>
      <c r="E89" s="684"/>
      <c r="F89" s="684"/>
      <c r="G89" s="684"/>
      <c r="H89" s="684"/>
      <c r="I89" s="684"/>
      <c r="J89" s="743"/>
      <c r="K89" s="743"/>
      <c r="L89" s="674" t="s">
        <v>214</v>
      </c>
    </row>
    <row r="90" spans="1:12" ht="25.5" customHeight="1">
      <c r="A90" s="684"/>
      <c r="B90" s="684"/>
      <c r="C90" s="684"/>
      <c r="D90" s="684"/>
      <c r="E90" s="684"/>
      <c r="F90" s="744"/>
      <c r="G90" s="745"/>
      <c r="H90" s="744"/>
      <c r="I90" s="746"/>
      <c r="J90" s="666"/>
      <c r="K90" s="666"/>
      <c r="L90" s="667" t="s">
        <v>1171</v>
      </c>
    </row>
    <row r="91" spans="1:12" ht="25.5" customHeight="1">
      <c r="A91" s="684"/>
      <c r="B91" s="684"/>
      <c r="C91" s="684"/>
      <c r="D91" s="684"/>
      <c r="E91" s="684"/>
      <c r="F91" s="744"/>
      <c r="G91" s="745"/>
      <c r="H91" s="744"/>
      <c r="I91" s="746"/>
      <c r="J91" s="666" t="s">
        <v>1326</v>
      </c>
      <c r="K91" s="666"/>
      <c r="L91" s="667" t="s">
        <v>1172</v>
      </c>
    </row>
    <row r="92" spans="1:12" ht="25.5" customHeight="1">
      <c r="A92" s="684"/>
      <c r="B92" s="684"/>
      <c r="C92" s="684"/>
      <c r="D92" s="684"/>
      <c r="E92" s="684"/>
      <c r="F92" s="744"/>
      <c r="G92" s="747"/>
      <c r="H92" s="745"/>
      <c r="I92" s="746"/>
      <c r="J92" s="666" t="s">
        <v>126</v>
      </c>
      <c r="K92" s="666"/>
      <c r="L92" s="667" t="s">
        <v>1327</v>
      </c>
    </row>
    <row r="93" spans="1:12" ht="25.5" customHeight="1">
      <c r="A93" s="684"/>
      <c r="B93" s="684"/>
      <c r="C93" s="684"/>
      <c r="D93" s="684"/>
      <c r="E93" s="684"/>
      <c r="F93" s="748"/>
      <c r="G93" s="747"/>
      <c r="H93" s="744"/>
      <c r="I93" s="746"/>
      <c r="J93" s="669"/>
      <c r="K93" s="669"/>
      <c r="L93" s="669" t="s">
        <v>126</v>
      </c>
    </row>
    <row r="94" spans="1:12" ht="25.5" customHeight="1">
      <c r="A94" s="684"/>
      <c r="B94" s="684"/>
      <c r="C94" s="684"/>
      <c r="D94" s="684"/>
      <c r="E94" s="684"/>
      <c r="F94" s="749"/>
      <c r="G94" s="748"/>
      <c r="H94" s="748"/>
      <c r="I94" s="746"/>
      <c r="J94" s="676" t="s">
        <v>1340</v>
      </c>
      <c r="K94" s="676"/>
      <c r="L94" s="676" t="s">
        <v>1341</v>
      </c>
    </row>
    <row r="95" spans="1:12" ht="25.5" customHeight="1">
      <c r="A95" s="684" t="s">
        <v>91</v>
      </c>
      <c r="B95" s="684"/>
      <c r="C95" s="684"/>
      <c r="D95" s="684"/>
      <c r="E95" s="684"/>
      <c r="F95" s="750"/>
      <c r="G95" s="750"/>
      <c r="H95" s="750"/>
      <c r="J95" s="751"/>
      <c r="K95" s="751"/>
      <c r="L95" s="751"/>
    </row>
    <row r="96" spans="1:12" ht="25.5" customHeight="1">
      <c r="A96" s="684" t="s">
        <v>92</v>
      </c>
      <c r="B96" s="665"/>
      <c r="C96" s="665"/>
      <c r="D96" s="684"/>
      <c r="E96" s="684"/>
      <c r="F96" s="752"/>
      <c r="G96" s="752"/>
      <c r="H96" s="752"/>
      <c r="J96" s="752">
        <v>191839448.29</v>
      </c>
      <c r="K96" s="752"/>
      <c r="L96" s="752">
        <v>171837736.52</v>
      </c>
    </row>
    <row r="97" spans="1:12" ht="25.5" customHeight="1">
      <c r="A97" s="684" t="s">
        <v>635</v>
      </c>
      <c r="B97" s="665"/>
      <c r="C97" s="665"/>
      <c r="D97" s="684"/>
      <c r="E97" s="684"/>
      <c r="F97" s="752"/>
      <c r="G97" s="754"/>
      <c r="H97" s="752"/>
      <c r="J97" s="753">
        <v>136751839.37</v>
      </c>
      <c r="K97" s="754"/>
      <c r="L97" s="753">
        <v>134626535.04</v>
      </c>
    </row>
    <row r="98" spans="1:12" ht="25.5" customHeight="1" thickBot="1">
      <c r="A98" s="684" t="s">
        <v>93</v>
      </c>
      <c r="B98" s="684"/>
      <c r="C98" s="684"/>
      <c r="D98" s="684"/>
      <c r="E98" s="684"/>
      <c r="F98" s="730"/>
      <c r="G98" s="754"/>
      <c r="H98" s="730"/>
      <c r="J98" s="755">
        <f>SUM(J96:J97)</f>
        <v>328591287.65999997</v>
      </c>
      <c r="K98" s="754"/>
      <c r="L98" s="755">
        <f>SUM(L96:L97)</f>
        <v>306464271.56</v>
      </c>
    </row>
    <row r="99" spans="1:12" ht="25.5" customHeight="1" thickTop="1">
      <c r="A99" s="684" t="s">
        <v>638</v>
      </c>
      <c r="B99" s="684"/>
      <c r="C99" s="684"/>
      <c r="D99" s="684"/>
      <c r="E99" s="684"/>
      <c r="F99" s="763"/>
      <c r="G99" s="754"/>
      <c r="H99" s="750"/>
      <c r="J99" s="756"/>
      <c r="K99" s="754"/>
      <c r="L99" s="756"/>
    </row>
    <row r="100" spans="1:12" ht="25.5" customHeight="1">
      <c r="A100" s="684" t="s">
        <v>639</v>
      </c>
      <c r="B100" s="684"/>
      <c r="C100" s="684"/>
      <c r="D100" s="684"/>
      <c r="E100" s="684"/>
      <c r="F100" s="750"/>
      <c r="G100" s="750"/>
      <c r="H100" s="750"/>
      <c r="J100" s="751"/>
      <c r="K100" s="751"/>
      <c r="L100" s="751"/>
    </row>
    <row r="101" spans="1:12" ht="25.5" customHeight="1">
      <c r="A101" s="684" t="s">
        <v>96</v>
      </c>
      <c r="B101" s="665"/>
      <c r="C101" s="665"/>
      <c r="D101" s="684"/>
      <c r="E101" s="684"/>
      <c r="F101" s="752"/>
      <c r="G101" s="741"/>
      <c r="H101" s="752"/>
      <c r="J101" s="752">
        <v>89281899.51</v>
      </c>
      <c r="K101" s="741"/>
      <c r="L101" s="752">
        <v>90627206.25</v>
      </c>
    </row>
    <row r="102" spans="1:12" ht="25.5" customHeight="1">
      <c r="A102" s="684" t="s">
        <v>95</v>
      </c>
      <c r="B102" s="665"/>
      <c r="C102" s="665"/>
      <c r="D102" s="684"/>
      <c r="E102" s="684"/>
      <c r="F102" s="752"/>
      <c r="G102" s="754"/>
      <c r="H102" s="752"/>
      <c r="J102" s="753">
        <v>60389041.23</v>
      </c>
      <c r="K102" s="754"/>
      <c r="L102" s="753">
        <v>50990337.33</v>
      </c>
    </row>
    <row r="103" spans="1:12" ht="25.5" customHeight="1" thickBot="1">
      <c r="A103" s="684" t="s">
        <v>94</v>
      </c>
      <c r="B103" s="684"/>
      <c r="C103" s="684"/>
      <c r="D103" s="664"/>
      <c r="E103" s="664"/>
      <c r="F103" s="730"/>
      <c r="G103" s="754"/>
      <c r="H103" s="730"/>
      <c r="J103" s="755">
        <f>SUM(J101:J102)</f>
        <v>149670940.74</v>
      </c>
      <c r="K103" s="754"/>
      <c r="L103" s="755">
        <f>SUM(L101:L102)</f>
        <v>141617543.57999998</v>
      </c>
    </row>
    <row r="104" spans="1:12" ht="25.5" customHeight="1" thickTop="1">
      <c r="A104" s="684"/>
      <c r="B104" s="684"/>
      <c r="C104" s="684"/>
      <c r="D104" s="664"/>
      <c r="E104" s="664"/>
      <c r="F104" s="684"/>
      <c r="G104" s="684"/>
      <c r="H104" s="684"/>
      <c r="I104" s="730"/>
      <c r="J104" s="752"/>
      <c r="K104" s="730"/>
      <c r="L104" s="752"/>
    </row>
    <row r="105" spans="2:12" s="684" customFormat="1" ht="25.5" customHeight="1">
      <c r="B105" s="757"/>
      <c r="C105" s="757"/>
      <c r="D105" s="665"/>
      <c r="E105" s="758"/>
      <c r="F105" s="757"/>
      <c r="G105" s="757"/>
      <c r="H105" s="759"/>
      <c r="I105" s="759"/>
      <c r="J105" s="760"/>
      <c r="K105" s="760"/>
      <c r="L105" s="757"/>
    </row>
    <row r="106" spans="2:12" s="684" customFormat="1" ht="25.5" customHeight="1">
      <c r="B106" s="757"/>
      <c r="C106" s="757"/>
      <c r="D106" s="665"/>
      <c r="E106" s="758"/>
      <c r="F106" s="757"/>
      <c r="G106" s="757"/>
      <c r="H106" s="759"/>
      <c r="I106" s="759"/>
      <c r="J106" s="760"/>
      <c r="K106" s="760"/>
      <c r="L106" s="757"/>
    </row>
    <row r="107" spans="2:12" s="684" customFormat="1" ht="25.5" customHeight="1">
      <c r="B107" s="757"/>
      <c r="C107" s="757"/>
      <c r="D107" s="665"/>
      <c r="E107" s="758"/>
      <c r="F107" s="757"/>
      <c r="G107" s="757"/>
      <c r="H107" s="759"/>
      <c r="I107" s="759"/>
      <c r="J107" s="760"/>
      <c r="K107" s="760"/>
      <c r="L107" s="757"/>
    </row>
    <row r="108" spans="2:12" s="684" customFormat="1" ht="25.5" customHeight="1">
      <c r="B108" s="757"/>
      <c r="C108" s="757"/>
      <c r="D108" s="665"/>
      <c r="E108" s="758"/>
      <c r="F108" s="757"/>
      <c r="G108" s="757"/>
      <c r="H108" s="761"/>
      <c r="I108" s="761"/>
      <c r="J108" s="760"/>
      <c r="K108" s="760"/>
      <c r="L108" s="757"/>
    </row>
    <row r="109" spans="1:12" ht="29.25" customHeight="1">
      <c r="A109" s="710" t="s">
        <v>1335</v>
      </c>
      <c r="B109" s="710"/>
      <c r="C109" s="710"/>
      <c r="D109" s="711"/>
      <c r="E109" s="711"/>
      <c r="F109" s="711"/>
      <c r="G109" s="711"/>
      <c r="H109" s="711"/>
      <c r="I109" s="711"/>
      <c r="J109" s="711"/>
      <c r="K109" s="711"/>
      <c r="L109" s="711"/>
    </row>
    <row r="110" spans="1:12" ht="29.25" customHeight="1">
      <c r="A110" s="710"/>
      <c r="B110" s="710"/>
      <c r="C110" s="710"/>
      <c r="D110" s="711"/>
      <c r="E110" s="711"/>
      <c r="F110" s="711"/>
      <c r="G110" s="711"/>
      <c r="H110" s="711"/>
      <c r="I110" s="711"/>
      <c r="J110" s="711"/>
      <c r="K110" s="711"/>
      <c r="L110" s="711"/>
    </row>
  </sheetData>
  <sheetProtection/>
  <printOptions/>
  <pageMargins left="0.5905511811023623" right="0.2755905511811024" top="0.3937007874015748" bottom="0" header="0.1968503937007874" footer="0"/>
  <pageSetup fitToHeight="0" fitToWidth="1" horizontalDpi="600" verticalDpi="600" orientation="portrait" paperSize="9" scale="77" r:id="rId1"/>
  <rowBreaks count="2" manualBreakCount="2">
    <brk id="37" max="12" man="1"/>
    <brk id="7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D2" sqref="D2"/>
    </sheetView>
  </sheetViews>
  <sheetFormatPr defaultColWidth="9.140625" defaultRowHeight="24.75" customHeight="1"/>
  <cols>
    <col min="1" max="1" width="21.7109375" style="765" customWidth="1"/>
    <col min="2" max="2" width="16.8515625" style="765" customWidth="1"/>
    <col min="3" max="9" width="19.57421875" style="765" customWidth="1"/>
    <col min="10" max="10" width="2.00390625" style="765" customWidth="1"/>
    <col min="11" max="11" width="9.140625" style="765" customWidth="1"/>
    <col min="12" max="12" width="14.28125" style="765" bestFit="1" customWidth="1"/>
    <col min="13" max="13" width="9.140625" style="765" customWidth="1"/>
    <col min="14" max="14" width="12.8515625" style="765" bestFit="1" customWidth="1"/>
    <col min="15" max="16384" width="9.140625" style="765" customWidth="1"/>
  </cols>
  <sheetData>
    <row r="1" spans="1:9" ht="24" customHeight="1">
      <c r="A1" s="764" t="s">
        <v>1630</v>
      </c>
      <c r="B1" s="764"/>
      <c r="C1" s="764"/>
      <c r="D1" s="764"/>
      <c r="E1" s="764"/>
      <c r="F1" s="764"/>
      <c r="G1" s="764"/>
      <c r="H1" s="764"/>
      <c r="I1" s="764"/>
    </row>
    <row r="2" ht="10.5" customHeight="1"/>
    <row r="3" spans="1:9" ht="24" customHeight="1">
      <c r="A3" s="766" t="s">
        <v>1351</v>
      </c>
      <c r="B3" s="725"/>
      <c r="C3" s="767"/>
      <c r="D3" s="767"/>
      <c r="E3" s="725"/>
      <c r="F3" s="725"/>
      <c r="G3" s="768"/>
      <c r="H3" s="725"/>
      <c r="I3" s="725"/>
    </row>
    <row r="4" spans="1:9" ht="24" customHeight="1">
      <c r="A4" s="692" t="s">
        <v>1352</v>
      </c>
      <c r="B4" s="725"/>
      <c r="C4" s="725"/>
      <c r="D4" s="725"/>
      <c r="E4" s="725"/>
      <c r="F4" s="725"/>
      <c r="G4" s="725"/>
      <c r="H4" s="725"/>
      <c r="I4" s="725"/>
    </row>
    <row r="5" spans="1:9" ht="24" customHeight="1">
      <c r="A5" s="692"/>
      <c r="B5" s="725"/>
      <c r="C5" s="725"/>
      <c r="D5" s="725"/>
      <c r="E5" s="725"/>
      <c r="F5" s="725"/>
      <c r="G5" s="725"/>
      <c r="H5" s="725"/>
      <c r="I5" s="769" t="s">
        <v>214</v>
      </c>
    </row>
    <row r="6" spans="1:9" ht="24" customHeight="1">
      <c r="A6" s="725"/>
      <c r="B6" s="725"/>
      <c r="C6" s="716" t="s">
        <v>541</v>
      </c>
      <c r="D6" s="716"/>
      <c r="E6" s="716"/>
      <c r="F6" s="716"/>
      <c r="G6" s="716"/>
      <c r="H6" s="716"/>
      <c r="I6" s="770"/>
    </row>
    <row r="7" spans="1:9" ht="24" customHeight="1">
      <c r="A7" s="771"/>
      <c r="B7" s="771"/>
      <c r="C7" s="772" t="s">
        <v>240</v>
      </c>
      <c r="D7" s="772" t="s">
        <v>620</v>
      </c>
      <c r="E7" s="772" t="s">
        <v>243</v>
      </c>
      <c r="F7" s="772" t="s">
        <v>236</v>
      </c>
      <c r="G7" s="772" t="s">
        <v>244</v>
      </c>
      <c r="H7" s="772" t="s">
        <v>245</v>
      </c>
      <c r="I7" s="772" t="s">
        <v>212</v>
      </c>
    </row>
    <row r="8" spans="1:9" ht="24" customHeight="1">
      <c r="A8" s="771"/>
      <c r="B8" s="771"/>
      <c r="C8" s="773"/>
      <c r="D8" s="773"/>
      <c r="E8" s="773"/>
      <c r="F8" s="773"/>
      <c r="G8" s="773" t="s">
        <v>246</v>
      </c>
      <c r="H8" s="773" t="s">
        <v>247</v>
      </c>
      <c r="I8" s="773"/>
    </row>
    <row r="9" spans="1:9" ht="24" customHeight="1">
      <c r="A9" s="725" t="s">
        <v>248</v>
      </c>
      <c r="B9" s="725"/>
      <c r="C9" s="774"/>
      <c r="D9" s="774"/>
      <c r="E9" s="774"/>
      <c r="F9" s="774"/>
      <c r="G9" s="774"/>
      <c r="H9" s="774"/>
      <c r="I9" s="725"/>
    </row>
    <row r="10" spans="1:9" ht="24" customHeight="1">
      <c r="A10" s="725" t="s">
        <v>783</v>
      </c>
      <c r="B10" s="725"/>
      <c r="C10" s="775">
        <v>297479209.92</v>
      </c>
      <c r="D10" s="775">
        <v>1555353240.77</v>
      </c>
      <c r="E10" s="775">
        <v>206574850.46</v>
      </c>
      <c r="F10" s="775">
        <v>118380932.78</v>
      </c>
      <c r="G10" s="775">
        <v>598307367.0399998</v>
      </c>
      <c r="H10" s="775">
        <v>5734983.789999992</v>
      </c>
      <c r="I10" s="775">
        <f>SUM(C10:H10)</f>
        <v>2781830584.76</v>
      </c>
    </row>
    <row r="11" spans="1:9" ht="24" customHeight="1">
      <c r="A11" s="725" t="s">
        <v>249</v>
      </c>
      <c r="B11" s="725"/>
      <c r="C11" s="776">
        <v>0</v>
      </c>
      <c r="D11" s="776">
        <v>5832647.41</v>
      </c>
      <c r="E11" s="776">
        <v>34523563.55</v>
      </c>
      <c r="F11" s="776">
        <v>8196217.609999999</v>
      </c>
      <c r="G11" s="776">
        <v>19435473.76</v>
      </c>
      <c r="H11" s="776">
        <v>138395184.44</v>
      </c>
      <c r="I11" s="776">
        <f>SUM(C11:H11)</f>
        <v>206383086.76999998</v>
      </c>
    </row>
    <row r="12" spans="1:9" ht="24" customHeight="1">
      <c r="A12" s="725" t="s">
        <v>1353</v>
      </c>
      <c r="B12" s="725"/>
      <c r="C12" s="776">
        <v>0</v>
      </c>
      <c r="D12" s="776">
        <v>0</v>
      </c>
      <c r="E12" s="776">
        <v>5453946.64</v>
      </c>
      <c r="F12" s="776">
        <v>0</v>
      </c>
      <c r="G12" s="776">
        <v>6416342.369999999</v>
      </c>
      <c r="H12" s="776">
        <v>0</v>
      </c>
      <c r="I12" s="776">
        <f>SUM(C12:H12)</f>
        <v>11870289.009999998</v>
      </c>
    </row>
    <row r="13" spans="1:9" s="778" customFormat="1" ht="24" customHeight="1">
      <c r="A13" s="777" t="s">
        <v>374</v>
      </c>
      <c r="B13" s="777"/>
      <c r="C13" s="776">
        <v>3551382.2200000007</v>
      </c>
      <c r="D13" s="776">
        <v>17768351.12</v>
      </c>
      <c r="E13" s="776">
        <v>0</v>
      </c>
      <c r="F13" s="776">
        <v>7779144.03</v>
      </c>
      <c r="G13" s="776">
        <v>35769277.2</v>
      </c>
      <c r="H13" s="776">
        <v>-44445454.370000005</v>
      </c>
      <c r="I13" s="776">
        <f>SUM(C13:H13)</f>
        <v>20422700.200000003</v>
      </c>
    </row>
    <row r="14" spans="1:9" s="782" customFormat="1" ht="24" customHeight="1">
      <c r="A14" s="779" t="s">
        <v>250</v>
      </c>
      <c r="B14" s="779"/>
      <c r="C14" s="780">
        <v>0</v>
      </c>
      <c r="D14" s="780">
        <v>-13906703.72</v>
      </c>
      <c r="E14" s="780">
        <v>-14034458.79</v>
      </c>
      <c r="F14" s="780">
        <v>0</v>
      </c>
      <c r="G14" s="780">
        <v>-485484.02</v>
      </c>
      <c r="H14" s="780">
        <v>0</v>
      </c>
      <c r="I14" s="781">
        <f>SUM(C14:H14)</f>
        <v>-28426646.529999997</v>
      </c>
    </row>
    <row r="15" spans="1:9" ht="24" customHeight="1">
      <c r="A15" s="725" t="s">
        <v>1338</v>
      </c>
      <c r="B15" s="725"/>
      <c r="C15" s="783">
        <f aca="true" t="shared" si="0" ref="C15:I15">SUM(C10:C14)</f>
        <v>301030592.14000005</v>
      </c>
      <c r="D15" s="783">
        <f t="shared" si="0"/>
        <v>1565047535.58</v>
      </c>
      <c r="E15" s="783">
        <f t="shared" si="0"/>
        <v>232517901.85999998</v>
      </c>
      <c r="F15" s="783">
        <f t="shared" si="0"/>
        <v>134356294.42</v>
      </c>
      <c r="G15" s="783">
        <f t="shared" si="0"/>
        <v>659442976.3499999</v>
      </c>
      <c r="H15" s="784">
        <f t="shared" si="0"/>
        <v>99684713.85999998</v>
      </c>
      <c r="I15" s="783">
        <f t="shared" si="0"/>
        <v>2992080014.21</v>
      </c>
    </row>
    <row r="16" spans="1:9" ht="24" customHeight="1">
      <c r="A16" s="725" t="s">
        <v>251</v>
      </c>
      <c r="B16" s="725"/>
      <c r="C16" s="785"/>
      <c r="D16" s="785"/>
      <c r="E16" s="785"/>
      <c r="F16" s="785"/>
      <c r="G16" s="785"/>
      <c r="H16" s="785"/>
      <c r="I16" s="786"/>
    </row>
    <row r="17" spans="1:9" ht="24" customHeight="1">
      <c r="A17" s="725" t="s">
        <v>783</v>
      </c>
      <c r="B17" s="725"/>
      <c r="C17" s="775">
        <v>0</v>
      </c>
      <c r="D17" s="775">
        <v>790938657.46</v>
      </c>
      <c r="E17" s="775">
        <v>149970461.49999997</v>
      </c>
      <c r="F17" s="775">
        <v>97506623.82</v>
      </c>
      <c r="G17" s="775">
        <v>511236450.31000006</v>
      </c>
      <c r="H17" s="775">
        <v>0</v>
      </c>
      <c r="I17" s="776">
        <f>SUM(C17:H17)</f>
        <v>1549652193.0900002</v>
      </c>
    </row>
    <row r="18" spans="1:9" ht="24" customHeight="1">
      <c r="A18" s="725" t="s">
        <v>1354</v>
      </c>
      <c r="B18" s="725"/>
      <c r="C18" s="776">
        <v>0</v>
      </c>
      <c r="D18" s="776">
        <v>63242813.989999995</v>
      </c>
      <c r="E18" s="776">
        <v>22710532.23</v>
      </c>
      <c r="F18" s="776">
        <v>9426424.84</v>
      </c>
      <c r="G18" s="776">
        <v>36471565.699999996</v>
      </c>
      <c r="H18" s="776">
        <v>0</v>
      </c>
      <c r="I18" s="776">
        <f>SUM(C18:H18)</f>
        <v>131851336.75999999</v>
      </c>
    </row>
    <row r="19" spans="1:9" ht="24" customHeight="1">
      <c r="A19" s="725" t="s">
        <v>1353</v>
      </c>
      <c r="B19" s="725"/>
      <c r="C19" s="776">
        <v>0</v>
      </c>
      <c r="D19" s="776">
        <v>0</v>
      </c>
      <c r="E19" s="776">
        <v>3734494.85</v>
      </c>
      <c r="F19" s="776">
        <v>0</v>
      </c>
      <c r="G19" s="776">
        <v>5655255.85</v>
      </c>
      <c r="H19" s="776">
        <v>0</v>
      </c>
      <c r="I19" s="776">
        <f>SUM(C19:H19)</f>
        <v>9389750.7</v>
      </c>
    </row>
    <row r="20" spans="1:9" ht="24" customHeight="1">
      <c r="A20" s="725" t="s">
        <v>1355</v>
      </c>
      <c r="B20" s="725"/>
      <c r="C20" s="780">
        <v>0</v>
      </c>
      <c r="D20" s="780">
        <v>-4728161.42</v>
      </c>
      <c r="E20" s="780">
        <v>-14039836.32</v>
      </c>
      <c r="F20" s="780">
        <v>0</v>
      </c>
      <c r="G20" s="780">
        <v>-484073.2</v>
      </c>
      <c r="H20" s="787">
        <v>0</v>
      </c>
      <c r="I20" s="781">
        <f>SUM(C20:H20)</f>
        <v>-19252070.94</v>
      </c>
    </row>
    <row r="21" spans="1:9" ht="24" customHeight="1">
      <c r="A21" s="725" t="s">
        <v>1338</v>
      </c>
      <c r="B21" s="725"/>
      <c r="C21" s="784">
        <f aca="true" t="shared" si="1" ref="C21:I21">SUM(C17:C20)</f>
        <v>0</v>
      </c>
      <c r="D21" s="784">
        <f t="shared" si="1"/>
        <v>849453310.0300001</v>
      </c>
      <c r="E21" s="784">
        <f t="shared" si="1"/>
        <v>162375652.25999996</v>
      </c>
      <c r="F21" s="784">
        <f t="shared" si="1"/>
        <v>106933048.66</v>
      </c>
      <c r="G21" s="784">
        <f t="shared" si="1"/>
        <v>552879198.6600001</v>
      </c>
      <c r="H21" s="784">
        <f t="shared" si="1"/>
        <v>0</v>
      </c>
      <c r="I21" s="784">
        <f t="shared" si="1"/>
        <v>1671641209.6100001</v>
      </c>
    </row>
    <row r="22" spans="1:9" ht="24" customHeight="1">
      <c r="A22" s="725" t="s">
        <v>256</v>
      </c>
      <c r="B22" s="725"/>
      <c r="C22" s="785"/>
      <c r="D22" s="785"/>
      <c r="E22" s="785"/>
      <c r="F22" s="785"/>
      <c r="G22" s="785"/>
      <c r="H22" s="785"/>
      <c r="I22" s="786"/>
    </row>
    <row r="23" spans="1:9" ht="24" customHeight="1" thickBot="1">
      <c r="A23" s="725" t="s">
        <v>783</v>
      </c>
      <c r="B23" s="725"/>
      <c r="C23" s="788">
        <f aca="true" t="shared" si="2" ref="C23:I23">C10-C17</f>
        <v>297479209.92</v>
      </c>
      <c r="D23" s="788">
        <f t="shared" si="2"/>
        <v>764414583.31</v>
      </c>
      <c r="E23" s="788">
        <f t="shared" si="2"/>
        <v>56604388.96000004</v>
      </c>
      <c r="F23" s="788">
        <f t="shared" si="2"/>
        <v>20874308.96000001</v>
      </c>
      <c r="G23" s="788">
        <f t="shared" si="2"/>
        <v>87070916.72999978</v>
      </c>
      <c r="H23" s="788">
        <f t="shared" si="2"/>
        <v>5734983.789999992</v>
      </c>
      <c r="I23" s="788">
        <f t="shared" si="2"/>
        <v>1232178391.67</v>
      </c>
    </row>
    <row r="24" spans="1:9" ht="24" customHeight="1" thickBot="1" thickTop="1">
      <c r="A24" s="725" t="s">
        <v>1338</v>
      </c>
      <c r="B24" s="725"/>
      <c r="C24" s="788">
        <f aca="true" t="shared" si="3" ref="C24:I24">C15-C21</f>
        <v>301030592.14000005</v>
      </c>
      <c r="D24" s="788">
        <f t="shared" si="3"/>
        <v>715594225.5499998</v>
      </c>
      <c r="E24" s="788">
        <f t="shared" si="3"/>
        <v>70142249.60000002</v>
      </c>
      <c r="F24" s="788">
        <f t="shared" si="3"/>
        <v>27423245.75999999</v>
      </c>
      <c r="G24" s="788">
        <f t="shared" si="3"/>
        <v>106563777.68999982</v>
      </c>
      <c r="H24" s="788">
        <f t="shared" si="3"/>
        <v>99684713.85999998</v>
      </c>
      <c r="I24" s="788">
        <f t="shared" si="3"/>
        <v>1320438804.6</v>
      </c>
    </row>
    <row r="25" spans="1:9" ht="10.5" customHeight="1" thickTop="1">
      <c r="A25" s="725"/>
      <c r="B25" s="725"/>
      <c r="C25" s="789"/>
      <c r="D25" s="789"/>
      <c r="E25" s="789"/>
      <c r="F25" s="789"/>
      <c r="G25" s="789"/>
      <c r="H25" s="789"/>
      <c r="I25" s="790"/>
    </row>
    <row r="26" spans="1:9" ht="24" customHeight="1">
      <c r="A26" s="692" t="s">
        <v>1360</v>
      </c>
      <c r="B26" s="725"/>
      <c r="C26" s="789"/>
      <c r="D26" s="789"/>
      <c r="E26" s="789"/>
      <c r="F26" s="789"/>
      <c r="G26" s="789"/>
      <c r="H26" s="789"/>
      <c r="I26" s="786"/>
    </row>
    <row r="27" spans="1:9" ht="24" customHeight="1">
      <c r="A27" s="791" t="s">
        <v>1356</v>
      </c>
      <c r="B27" s="725"/>
      <c r="C27" s="789"/>
      <c r="D27" s="789"/>
      <c r="E27" s="789"/>
      <c r="F27" s="789"/>
      <c r="G27" s="789"/>
      <c r="H27" s="789"/>
      <c r="I27" s="789"/>
    </row>
    <row r="28" spans="1:9" ht="24" customHeight="1">
      <c r="A28" s="692" t="s">
        <v>1357</v>
      </c>
      <c r="B28" s="725"/>
      <c r="C28" s="789"/>
      <c r="D28" s="789"/>
      <c r="E28" s="789"/>
      <c r="F28" s="789"/>
      <c r="G28" s="789"/>
      <c r="H28" s="789"/>
      <c r="I28" s="792"/>
    </row>
    <row r="29" spans="1:9" ht="12" customHeight="1">
      <c r="A29" s="692"/>
      <c r="B29" s="725"/>
      <c r="C29" s="789"/>
      <c r="D29" s="789"/>
      <c r="E29" s="789"/>
      <c r="F29" s="789"/>
      <c r="G29" s="789"/>
      <c r="H29" s="789"/>
      <c r="I29" s="789"/>
    </row>
    <row r="30" spans="1:10" ht="23.25">
      <c r="A30" s="764" t="s">
        <v>1358</v>
      </c>
      <c r="B30" s="764"/>
      <c r="C30" s="793"/>
      <c r="D30" s="793"/>
      <c r="E30" s="793"/>
      <c r="F30" s="793"/>
      <c r="G30" s="793"/>
      <c r="H30" s="793"/>
      <c r="I30" s="793"/>
      <c r="J30" s="794"/>
    </row>
    <row r="31" spans="1:9" ht="24" customHeight="1">
      <c r="A31" s="764" t="s">
        <v>1631</v>
      </c>
      <c r="B31" s="764"/>
      <c r="C31" s="764"/>
      <c r="D31" s="764"/>
      <c r="E31" s="764"/>
      <c r="F31" s="764"/>
      <c r="G31" s="764"/>
      <c r="H31" s="764"/>
      <c r="I31" s="764"/>
    </row>
    <row r="32" ht="23.25">
      <c r="B32" s="710"/>
    </row>
    <row r="33" spans="1:9" ht="24" customHeight="1">
      <c r="A33" s="766" t="s">
        <v>1359</v>
      </c>
      <c r="B33" s="725"/>
      <c r="C33" s="767"/>
      <c r="D33" s="767"/>
      <c r="E33" s="725"/>
      <c r="F33" s="725"/>
      <c r="G33" s="768"/>
      <c r="H33" s="725"/>
      <c r="I33" s="725"/>
    </row>
    <row r="34" spans="1:9" ht="24" customHeight="1">
      <c r="A34" s="692" t="s">
        <v>1352</v>
      </c>
      <c r="B34" s="725"/>
      <c r="C34" s="725"/>
      <c r="D34" s="725"/>
      <c r="E34" s="725"/>
      <c r="F34" s="725"/>
      <c r="G34" s="725"/>
      <c r="H34" s="725"/>
      <c r="I34" s="725"/>
    </row>
    <row r="35" spans="1:9" ht="24" customHeight="1">
      <c r="A35" s="692"/>
      <c r="B35" s="725"/>
      <c r="C35" s="725"/>
      <c r="D35" s="725"/>
      <c r="E35" s="725"/>
      <c r="F35" s="725"/>
      <c r="G35" s="725"/>
      <c r="H35" s="725"/>
      <c r="I35" s="769" t="s">
        <v>214</v>
      </c>
    </row>
    <row r="36" spans="1:9" ht="24" customHeight="1">
      <c r="A36" s="725"/>
      <c r="B36" s="725"/>
      <c r="C36" s="716" t="s">
        <v>126</v>
      </c>
      <c r="D36" s="716"/>
      <c r="E36" s="716"/>
      <c r="F36" s="716"/>
      <c r="G36" s="716"/>
      <c r="H36" s="716"/>
      <c r="I36" s="770"/>
    </row>
    <row r="37" spans="1:9" ht="24" customHeight="1">
      <c r="A37" s="771"/>
      <c r="B37" s="771"/>
      <c r="C37" s="772" t="s">
        <v>240</v>
      </c>
      <c r="D37" s="772" t="s">
        <v>620</v>
      </c>
      <c r="E37" s="772" t="s">
        <v>243</v>
      </c>
      <c r="F37" s="772" t="s">
        <v>236</v>
      </c>
      <c r="G37" s="772" t="s">
        <v>244</v>
      </c>
      <c r="H37" s="772" t="s">
        <v>245</v>
      </c>
      <c r="I37" s="772" t="s">
        <v>212</v>
      </c>
    </row>
    <row r="38" spans="1:9" ht="24" customHeight="1">
      <c r="A38" s="771"/>
      <c r="B38" s="771"/>
      <c r="C38" s="773"/>
      <c r="D38" s="773"/>
      <c r="E38" s="773"/>
      <c r="F38" s="773"/>
      <c r="G38" s="773" t="s">
        <v>246</v>
      </c>
      <c r="H38" s="773" t="s">
        <v>247</v>
      </c>
      <c r="I38" s="773"/>
    </row>
    <row r="39" spans="1:9" ht="24" customHeight="1">
      <c r="A39" s="725" t="s">
        <v>248</v>
      </c>
      <c r="B39" s="725"/>
      <c r="C39" s="774"/>
      <c r="D39" s="774"/>
      <c r="E39" s="774"/>
      <c r="F39" s="774"/>
      <c r="G39" s="774"/>
      <c r="H39" s="774"/>
      <c r="I39" s="725"/>
    </row>
    <row r="40" spans="1:15" ht="24" customHeight="1">
      <c r="A40" s="725" t="s">
        <v>783</v>
      </c>
      <c r="B40" s="725"/>
      <c r="C40" s="775">
        <v>297479209.92</v>
      </c>
      <c r="D40" s="775">
        <v>1555353240.77</v>
      </c>
      <c r="E40" s="775">
        <v>206574850.46</v>
      </c>
      <c r="F40" s="775">
        <v>118380932.78</v>
      </c>
      <c r="G40" s="775">
        <v>598307367.0399998</v>
      </c>
      <c r="H40" s="775">
        <v>5734983.789999992</v>
      </c>
      <c r="I40" s="775">
        <f>SUM(C40:H40)</f>
        <v>2781830584.76</v>
      </c>
      <c r="L40" s="795"/>
      <c r="N40" s="795"/>
      <c r="O40" s="796"/>
    </row>
    <row r="41" spans="1:15" ht="24" customHeight="1">
      <c r="A41" s="725" t="s">
        <v>249</v>
      </c>
      <c r="B41" s="725"/>
      <c r="C41" s="776">
        <v>0</v>
      </c>
      <c r="D41" s="776">
        <v>5832647.41</v>
      </c>
      <c r="E41" s="776">
        <v>34523563.55</v>
      </c>
      <c r="F41" s="776">
        <v>8196217.609999999</v>
      </c>
      <c r="G41" s="776">
        <v>19334027.66</v>
      </c>
      <c r="H41" s="776">
        <v>138395184.44</v>
      </c>
      <c r="I41" s="776">
        <f>SUM(C41:H41)</f>
        <v>206281640.67</v>
      </c>
      <c r="L41" s="795"/>
      <c r="N41" s="795"/>
      <c r="O41" s="796"/>
    </row>
    <row r="42" spans="1:15" s="778" customFormat="1" ht="24" customHeight="1">
      <c r="A42" s="777" t="s">
        <v>374</v>
      </c>
      <c r="B42" s="777"/>
      <c r="C42" s="776">
        <v>3551382.2200000007</v>
      </c>
      <c r="D42" s="776">
        <v>17768351.12</v>
      </c>
      <c r="E42" s="776">
        <v>0</v>
      </c>
      <c r="F42" s="776">
        <v>7779144.03</v>
      </c>
      <c r="G42" s="776">
        <v>35769277.2</v>
      </c>
      <c r="H42" s="776">
        <v>-44445454.370000005</v>
      </c>
      <c r="I42" s="776">
        <f>SUM(C42:H42)</f>
        <v>20422700.200000003</v>
      </c>
      <c r="L42" s="795"/>
      <c r="N42" s="795"/>
      <c r="O42" s="796"/>
    </row>
    <row r="43" spans="1:15" s="782" customFormat="1" ht="24" customHeight="1">
      <c r="A43" s="779" t="s">
        <v>250</v>
      </c>
      <c r="B43" s="779"/>
      <c r="C43" s="780">
        <v>0</v>
      </c>
      <c r="D43" s="780">
        <v>-13906703.72</v>
      </c>
      <c r="E43" s="780">
        <v>-14034458.79</v>
      </c>
      <c r="F43" s="780">
        <v>0</v>
      </c>
      <c r="G43" s="780">
        <v>-373227.51</v>
      </c>
      <c r="H43" s="780">
        <v>0</v>
      </c>
      <c r="I43" s="781">
        <f>SUM(C43:H43)</f>
        <v>-28314390.02</v>
      </c>
      <c r="L43" s="795"/>
      <c r="N43" s="795"/>
      <c r="O43" s="796"/>
    </row>
    <row r="44" spans="1:9" ht="24" customHeight="1">
      <c r="A44" s="725" t="s">
        <v>1338</v>
      </c>
      <c r="B44" s="725"/>
      <c r="C44" s="783">
        <f aca="true" t="shared" si="4" ref="C44:I44">SUM(C40:C43)</f>
        <v>301030592.14000005</v>
      </c>
      <c r="D44" s="783">
        <f t="shared" si="4"/>
        <v>1565047535.58</v>
      </c>
      <c r="E44" s="783">
        <f t="shared" si="4"/>
        <v>227063955.22</v>
      </c>
      <c r="F44" s="783">
        <f t="shared" si="4"/>
        <v>134356294.42</v>
      </c>
      <c r="G44" s="783">
        <f t="shared" si="4"/>
        <v>653037444.3899999</v>
      </c>
      <c r="H44" s="784">
        <f t="shared" si="4"/>
        <v>99684713.85999998</v>
      </c>
      <c r="I44" s="783">
        <f t="shared" si="4"/>
        <v>2980220535.61</v>
      </c>
    </row>
    <row r="45" spans="1:9" ht="24" customHeight="1">
      <c r="A45" s="725" t="s">
        <v>251</v>
      </c>
      <c r="B45" s="725"/>
      <c r="C45" s="785"/>
      <c r="D45" s="785"/>
      <c r="E45" s="785"/>
      <c r="F45" s="785"/>
      <c r="G45" s="785"/>
      <c r="H45" s="785"/>
      <c r="I45" s="786"/>
    </row>
    <row r="46" spans="1:9" ht="24" customHeight="1">
      <c r="A46" s="725" t="s">
        <v>783</v>
      </c>
      <c r="B46" s="725"/>
      <c r="C46" s="775">
        <v>0</v>
      </c>
      <c r="D46" s="775">
        <v>790938657.46</v>
      </c>
      <c r="E46" s="775">
        <v>149970461.49999997</v>
      </c>
      <c r="F46" s="775">
        <v>97506623.82</v>
      </c>
      <c r="G46" s="775">
        <v>511236450.31000006</v>
      </c>
      <c r="H46" s="775">
        <v>0</v>
      </c>
      <c r="I46" s="776">
        <f>SUM(C46:H46)</f>
        <v>1549652193.0900002</v>
      </c>
    </row>
    <row r="47" spans="1:9" ht="24" customHeight="1">
      <c r="A47" s="725" t="s">
        <v>252</v>
      </c>
      <c r="B47" s="725"/>
      <c r="C47" s="776">
        <v>0</v>
      </c>
      <c r="D47" s="776">
        <v>63242813.989999995</v>
      </c>
      <c r="E47" s="776">
        <v>22488418.909999996</v>
      </c>
      <c r="F47" s="776">
        <v>9426424.84</v>
      </c>
      <c r="G47" s="776">
        <v>36274371.120000005</v>
      </c>
      <c r="H47" s="776">
        <v>0</v>
      </c>
      <c r="I47" s="776">
        <f>SUM(C47:H47)</f>
        <v>131432028.86</v>
      </c>
    </row>
    <row r="48" spans="1:9" ht="24" customHeight="1">
      <c r="A48" s="725" t="s">
        <v>253</v>
      </c>
      <c r="B48" s="725"/>
      <c r="C48" s="780">
        <v>0</v>
      </c>
      <c r="D48" s="780">
        <v>-4728161.42</v>
      </c>
      <c r="E48" s="780">
        <v>-14039836.32</v>
      </c>
      <c r="F48" s="780">
        <v>0</v>
      </c>
      <c r="G48" s="780">
        <v>-373171.02</v>
      </c>
      <c r="H48" s="787">
        <v>0</v>
      </c>
      <c r="I48" s="781">
        <f>SUM(C48:H48)</f>
        <v>-19141168.76</v>
      </c>
    </row>
    <row r="49" spans="1:9" ht="24" customHeight="1">
      <c r="A49" s="725" t="s">
        <v>1338</v>
      </c>
      <c r="B49" s="725"/>
      <c r="C49" s="784">
        <f>SUM(C46:C48)</f>
        <v>0</v>
      </c>
      <c r="D49" s="784">
        <f aca="true" t="shared" si="5" ref="D49:I49">SUM(D46:D48)</f>
        <v>849453310.0300001</v>
      </c>
      <c r="E49" s="784">
        <f t="shared" si="5"/>
        <v>158419044.08999997</v>
      </c>
      <c r="F49" s="784">
        <f t="shared" si="5"/>
        <v>106933048.66</v>
      </c>
      <c r="G49" s="784">
        <f t="shared" si="5"/>
        <v>547137650.4100001</v>
      </c>
      <c r="H49" s="784">
        <f t="shared" si="5"/>
        <v>0</v>
      </c>
      <c r="I49" s="784">
        <f t="shared" si="5"/>
        <v>1661943053.19</v>
      </c>
    </row>
    <row r="50" spans="1:9" ht="24" customHeight="1">
      <c r="A50" s="725" t="s">
        <v>256</v>
      </c>
      <c r="B50" s="725"/>
      <c r="C50" s="785"/>
      <c r="D50" s="785"/>
      <c r="E50" s="785"/>
      <c r="F50" s="785"/>
      <c r="G50" s="785"/>
      <c r="H50" s="785"/>
      <c r="I50" s="786"/>
    </row>
    <row r="51" spans="1:9" ht="24" customHeight="1" thickBot="1">
      <c r="A51" s="725" t="s">
        <v>783</v>
      </c>
      <c r="B51" s="725"/>
      <c r="C51" s="788">
        <f>C40-C46</f>
        <v>297479209.92</v>
      </c>
      <c r="D51" s="788">
        <f aca="true" t="shared" si="6" ref="D51:I51">D40-D46</f>
        <v>764414583.31</v>
      </c>
      <c r="E51" s="788">
        <f t="shared" si="6"/>
        <v>56604388.96000004</v>
      </c>
      <c r="F51" s="788">
        <f t="shared" si="6"/>
        <v>20874308.96000001</v>
      </c>
      <c r="G51" s="788">
        <f t="shared" si="6"/>
        <v>87070916.72999978</v>
      </c>
      <c r="H51" s="788">
        <f t="shared" si="6"/>
        <v>5734983.789999992</v>
      </c>
      <c r="I51" s="788">
        <f t="shared" si="6"/>
        <v>1232178391.67</v>
      </c>
    </row>
    <row r="52" spans="1:9" ht="24" customHeight="1" thickBot="1" thickTop="1">
      <c r="A52" s="725" t="s">
        <v>1338</v>
      </c>
      <c r="B52" s="725"/>
      <c r="C52" s="788">
        <f>C44-C49</f>
        <v>301030592.14000005</v>
      </c>
      <c r="D52" s="788">
        <f aca="true" t="shared" si="7" ref="D52:I52">D44-D49</f>
        <v>715594225.5499998</v>
      </c>
      <c r="E52" s="788">
        <f t="shared" si="7"/>
        <v>68644911.13000003</v>
      </c>
      <c r="F52" s="788">
        <f t="shared" si="7"/>
        <v>27423245.75999999</v>
      </c>
      <c r="G52" s="788">
        <f t="shared" si="7"/>
        <v>105899793.97999978</v>
      </c>
      <c r="H52" s="788">
        <f t="shared" si="7"/>
        <v>99684713.85999998</v>
      </c>
      <c r="I52" s="788">
        <f t="shared" si="7"/>
        <v>1318277482.42</v>
      </c>
    </row>
    <row r="53" spans="1:9" ht="24" thickTop="1">
      <c r="A53" s="725"/>
      <c r="B53" s="725"/>
      <c r="C53" s="789"/>
      <c r="D53" s="789"/>
      <c r="E53" s="789"/>
      <c r="F53" s="789"/>
      <c r="G53" s="789"/>
      <c r="H53" s="789"/>
      <c r="I53" s="790"/>
    </row>
    <row r="54" spans="1:9" ht="24" customHeight="1">
      <c r="A54" s="692" t="s">
        <v>1850</v>
      </c>
      <c r="B54" s="725"/>
      <c r="C54" s="789"/>
      <c r="D54" s="789"/>
      <c r="E54" s="789"/>
      <c r="F54" s="789"/>
      <c r="G54" s="789"/>
      <c r="H54" s="789"/>
      <c r="I54" s="786"/>
    </row>
    <row r="55" spans="1:9" ht="24" customHeight="1">
      <c r="A55" s="791" t="s">
        <v>1356</v>
      </c>
      <c r="B55" s="725"/>
      <c r="C55" s="789"/>
      <c r="D55" s="789"/>
      <c r="E55" s="789"/>
      <c r="F55" s="789"/>
      <c r="G55" s="789"/>
      <c r="H55" s="789"/>
      <c r="I55" s="789"/>
    </row>
    <row r="56" spans="1:9" ht="24" customHeight="1">
      <c r="A56" s="692" t="s">
        <v>1357</v>
      </c>
      <c r="B56" s="725"/>
      <c r="C56" s="789"/>
      <c r="D56" s="789"/>
      <c r="E56" s="789"/>
      <c r="F56" s="789"/>
      <c r="G56" s="789"/>
      <c r="H56" s="789"/>
      <c r="I56" s="792"/>
    </row>
    <row r="57" spans="1:9" ht="24" customHeight="1">
      <c r="A57" s="692"/>
      <c r="B57" s="725"/>
      <c r="C57" s="789"/>
      <c r="D57" s="789"/>
      <c r="E57" s="789"/>
      <c r="F57" s="789"/>
      <c r="G57" s="789"/>
      <c r="H57" s="789"/>
      <c r="I57" s="789"/>
    </row>
    <row r="58" spans="1:10" ht="23.25">
      <c r="A58" s="764" t="s">
        <v>1358</v>
      </c>
      <c r="B58" s="764"/>
      <c r="C58" s="793"/>
      <c r="D58" s="793"/>
      <c r="E58" s="793"/>
      <c r="F58" s="793"/>
      <c r="G58" s="793"/>
      <c r="H58" s="793"/>
      <c r="I58" s="793"/>
      <c r="J58" s="794"/>
    </row>
  </sheetData>
  <sheetProtection/>
  <printOptions/>
  <pageMargins left="0.3937007874015748" right="0" top="0.3937007874015748" bottom="0" header="0.11811023622047245" footer="0.11811023622047245"/>
  <pageSetup horizontalDpi="600" verticalDpi="600" orientation="landscape" paperSize="9" scale="83" r:id="rId1"/>
  <rowBreaks count="1" manualBreakCount="1"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PoONaM</dc:creator>
  <cp:keywords/>
  <dc:description/>
  <cp:lastModifiedBy>Windows User</cp:lastModifiedBy>
  <cp:lastPrinted>2018-03-19T06:23:29Z</cp:lastPrinted>
  <dcterms:created xsi:type="dcterms:W3CDTF">2003-01-01T10:56:48Z</dcterms:created>
  <dcterms:modified xsi:type="dcterms:W3CDTF">2018-03-19T06:24:07Z</dcterms:modified>
  <cp:category/>
  <cp:version/>
  <cp:contentType/>
  <cp:contentStatus/>
</cp:coreProperties>
</file>